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hiva\-- GRZETIC --\-  Stanovi BIA\-  IZVODJACKI PROJEKAT\-  TENDER\Tenderi NIS 21 08 2018\"/>
    </mc:Choice>
  </mc:AlternateContent>
  <bookViews>
    <workbookView xWindow="12570" yWindow="405" windowWidth="11715" windowHeight="12660" tabRatio="580"/>
  </bookViews>
  <sheets>
    <sheet name="ПиП-АГ-НИШ A3" sheetId="10" r:id="rId1"/>
  </sheets>
  <definedNames>
    <definedName name="_xlnm.Print_Area" localSheetId="0">'ПиП-АГ-НИШ A3'!$A$1:$F$2075</definedName>
    <definedName name="_xlnm.Print_Titles" localSheetId="0">'ПиП-АГ-НИШ A3'!$1:$4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52511"/>
</workbook>
</file>

<file path=xl/calcChain.xml><?xml version="1.0" encoding="utf-8"?>
<calcChain xmlns="http://schemas.openxmlformats.org/spreadsheetml/2006/main">
  <c r="D1214" i="10" l="1"/>
  <c r="D1211" i="10"/>
  <c r="D1208" i="10"/>
  <c r="D998" i="10"/>
  <c r="D1216" i="10" l="1"/>
  <c r="F1216" i="10" s="1"/>
  <c r="F998" i="10"/>
  <c r="D802" i="10" l="1"/>
  <c r="D799" i="10"/>
  <c r="D796" i="10"/>
  <c r="D804" i="10" l="1"/>
  <c r="F1514" i="10"/>
  <c r="D223" i="10" l="1"/>
  <c r="D220" i="10"/>
  <c r="D207" i="10"/>
  <c r="D201" i="10"/>
  <c r="D195" i="10"/>
  <c r="D1590" i="10" l="1"/>
  <c r="D235" i="10" l="1"/>
  <c r="D232" i="10"/>
  <c r="F235" i="10" l="1"/>
  <c r="D151" i="10" l="1"/>
  <c r="D1490" i="10" l="1"/>
  <c r="D1706" i="10" l="1"/>
  <c r="D722" i="10"/>
  <c r="D720" i="10"/>
  <c r="D718" i="10"/>
  <c r="D322" i="10"/>
  <c r="D723" i="10" l="1"/>
  <c r="F1706" i="10"/>
  <c r="D69" i="10" l="1"/>
  <c r="F1380" i="10" l="1"/>
  <c r="D1451" i="10"/>
  <c r="D14" i="10" l="1"/>
  <c r="D37" i="10" l="1"/>
  <c r="D27" i="10" l="1"/>
  <c r="F14" i="10" l="1"/>
  <c r="D706" i="10" l="1"/>
  <c r="D213" i="10" l="1"/>
  <c r="D32" i="10"/>
  <c r="F213" i="10" l="1"/>
  <c r="D170" i="10"/>
  <c r="D302" i="10" l="1"/>
  <c r="D246" i="10"/>
  <c r="D269" i="10"/>
  <c r="D266" i="10"/>
  <c r="D252" i="10"/>
  <c r="D249" i="10"/>
  <c r="D243" i="10"/>
  <c r="D263" i="10"/>
  <c r="D260" i="10"/>
  <c r="D135" i="10"/>
  <c r="D277" i="10"/>
  <c r="D44" i="10"/>
  <c r="F252" i="10" l="1"/>
  <c r="F249" i="10"/>
  <c r="F44" i="10"/>
  <c r="D111" i="10" l="1"/>
  <c r="D105" i="10"/>
  <c r="D94" i="10"/>
  <c r="D102" i="10"/>
  <c r="D91" i="10"/>
  <c r="D83" i="10"/>
  <c r="D76" i="10"/>
  <c r="D58" i="10"/>
  <c r="D61" i="10"/>
  <c r="F61" i="10" l="1"/>
  <c r="F105" i="10"/>
  <c r="F94" i="10"/>
  <c r="F83" i="10"/>
  <c r="D2028" i="10"/>
  <c r="D2030" i="10" s="1"/>
  <c r="D1987" i="10"/>
  <c r="D1984" i="10"/>
  <c r="F1092" i="10"/>
  <c r="D1011" i="10"/>
  <c r="D1008" i="10"/>
  <c r="D1005" i="10"/>
  <c r="D973" i="10"/>
  <c r="D982" i="10"/>
  <c r="D964" i="10"/>
  <c r="D954" i="10"/>
  <c r="D943" i="10"/>
  <c r="D945" i="10" s="1"/>
  <c r="D932" i="10"/>
  <c r="D929" i="10"/>
  <c r="D1013" i="10" l="1"/>
  <c r="F1987" i="10"/>
  <c r="F991" i="10"/>
  <c r="D934" i="10"/>
  <c r="D912" i="10"/>
  <c r="D901" i="10"/>
  <c r="D869" i="10" l="1"/>
  <c r="D872" i="10"/>
  <c r="D866" i="10"/>
  <c r="D890" i="10"/>
  <c r="D887" i="10"/>
  <c r="D884" i="10"/>
  <c r="F884" i="10" s="1"/>
  <c r="D636" i="10"/>
  <c r="D633" i="10"/>
  <c r="D630" i="10"/>
  <c r="D852" i="10"/>
  <c r="D849" i="10"/>
  <c r="D846" i="10"/>
  <c r="D837" i="10"/>
  <c r="D834" i="10"/>
  <c r="D831" i="10"/>
  <c r="D688" i="10"/>
  <c r="D816" i="10"/>
  <c r="D874" i="10" l="1"/>
  <c r="D839" i="10"/>
  <c r="D638" i="10"/>
  <c r="D892" i="10"/>
  <c r="F892" i="10" s="1"/>
  <c r="D854" i="10"/>
  <c r="F706" i="10"/>
  <c r="D786" i="10"/>
  <c r="D791" i="10"/>
  <c r="D813" i="10"/>
  <c r="D782" i="10"/>
  <c r="D778" i="10"/>
  <c r="D772" i="10"/>
  <c r="D771" i="10"/>
  <c r="D770" i="10"/>
  <c r="D769" i="10"/>
  <c r="D1972" i="10"/>
  <c r="D1969" i="10"/>
  <c r="D1966" i="10"/>
  <c r="D1954" i="10"/>
  <c r="D1948" i="10"/>
  <c r="D1951" i="10"/>
  <c r="D1938" i="10"/>
  <c r="D1935" i="10"/>
  <c r="D1932" i="10"/>
  <c r="D117" i="10"/>
  <c r="D774" i="10" l="1"/>
  <c r="F791" i="10"/>
  <c r="F782" i="10"/>
  <c r="D1940" i="10"/>
  <c r="D1924" i="10" l="1"/>
  <c r="D1642" i="10"/>
  <c r="F263" i="10" l="1"/>
  <c r="F266" i="10"/>
  <c r="F269" i="10"/>
  <c r="D187" i="10"/>
  <c r="D184" i="10"/>
  <c r="D181" i="10"/>
  <c r="D189" i="10" l="1"/>
  <c r="F189" i="10" s="1"/>
  <c r="D1910" i="10"/>
  <c r="D1907" i="10"/>
  <c r="D1901" i="10"/>
  <c r="D1898" i="10"/>
  <c r="D1895" i="10"/>
  <c r="D1889" i="10"/>
  <c r="D1886" i="10"/>
  <c r="D1883" i="10"/>
  <c r="D1869" i="10" l="1"/>
  <c r="D1866" i="10"/>
  <c r="D1863" i="10"/>
  <c r="D1848" i="10"/>
  <c r="D1854" i="10"/>
  <c r="D1851" i="10"/>
  <c r="D1839" i="10"/>
  <c r="D1836" i="10"/>
  <c r="D1833" i="10"/>
  <c r="D1798" i="10"/>
  <c r="D1809" i="10"/>
  <c r="D1806" i="10"/>
  <c r="D1803" i="10"/>
  <c r="D1790" i="10"/>
  <c r="D1787" i="10"/>
  <c r="D1784" i="10"/>
  <c r="D1780" i="10"/>
  <c r="D1777" i="10"/>
  <c r="D1841" i="10" l="1"/>
  <c r="D1774" i="10"/>
  <c r="D1792" i="10" s="1"/>
  <c r="D1759" i="10"/>
  <c r="D1756" i="10"/>
  <c r="D1753" i="10"/>
  <c r="D1761" i="10" l="1"/>
  <c r="D1746" i="10"/>
  <c r="D1743" i="10"/>
  <c r="D1740" i="10"/>
  <c r="D1748" i="10" l="1"/>
  <c r="D603" i="10"/>
  <c r="D600" i="10"/>
  <c r="D597" i="10"/>
  <c r="D618" i="10" l="1"/>
  <c r="D615" i="10"/>
  <c r="D612" i="10"/>
  <c r="D620" i="10" l="1"/>
  <c r="D1721" i="10"/>
  <c r="D1718" i="10"/>
  <c r="D1715" i="10"/>
  <c r="D1819" i="10"/>
  <c r="D1701" i="10"/>
  <c r="D1698" i="10"/>
  <c r="D1695" i="10"/>
  <c r="D1688" i="10"/>
  <c r="D1685" i="10"/>
  <c r="D1669" i="10"/>
  <c r="D1682" i="10"/>
  <c r="D1675" i="10"/>
  <c r="D1672" i="10"/>
  <c r="D1723" i="10" l="1"/>
  <c r="D1648" i="10"/>
  <c r="D1654" i="10" l="1"/>
  <c r="D1633" i="10"/>
  <c r="F1648" i="10"/>
  <c r="F503" i="10"/>
  <c r="D667" i="10"/>
  <c r="D1549" i="10"/>
  <c r="D1551" i="10"/>
  <c r="F1642" i="10" l="1"/>
  <c r="F1551" i="10"/>
  <c r="D1618" i="10" l="1"/>
  <c r="D1579" i="10"/>
  <c r="D1568" i="10"/>
  <c r="D1560" i="10"/>
  <c r="D1478" i="10"/>
  <c r="D1475" i="10"/>
  <c r="D1472" i="10"/>
  <c r="D1469" i="10"/>
  <c r="D1466" i="10"/>
  <c r="D1454" i="10"/>
  <c r="D1503" i="10"/>
  <c r="F1439" i="10"/>
  <c r="F1430" i="10"/>
  <c r="F1422" i="10"/>
  <c r="F1384" i="10"/>
  <c r="F1490" i="10" l="1"/>
  <c r="F1454" i="10"/>
  <c r="D1313" i="10"/>
  <c r="D1308" i="10"/>
  <c r="F1291" i="10"/>
  <c r="F1287" i="10"/>
  <c r="F1283" i="10"/>
  <c r="F1279" i="10"/>
  <c r="F1251" i="10"/>
  <c r="F1194" i="10"/>
  <c r="F1149" i="10"/>
  <c r="F1146" i="10"/>
  <c r="F1152" i="10"/>
  <c r="F1170" i="10"/>
  <c r="F1313" i="10" l="1"/>
  <c r="F1308" i="10"/>
  <c r="F1304" i="10"/>
  <c r="F1098" i="10" l="1"/>
  <c r="D1072" i="10"/>
  <c r="D1084" i="10"/>
  <c r="D1081" i="10"/>
  <c r="D1078" i="10"/>
  <c r="D1066" i="10"/>
  <c r="D1061" i="10"/>
  <c r="D1035" i="10"/>
  <c r="D1032" i="10"/>
  <c r="D1029" i="10"/>
  <c r="D1047" i="10"/>
  <c r="D1044" i="10"/>
  <c r="D1041" i="10"/>
  <c r="D726" i="10"/>
  <c r="D731" i="10"/>
  <c r="D728" i="10"/>
  <c r="D674" i="10"/>
  <c r="D733" i="10" l="1"/>
  <c r="D1049" i="10"/>
  <c r="D1068" i="10"/>
  <c r="D1086" i="10"/>
  <c r="D1037" i="10"/>
  <c r="D575" i="10"/>
  <c r="D572" i="10"/>
  <c r="D569" i="10"/>
  <c r="D588" i="10"/>
  <c r="D585" i="10"/>
  <c r="D582" i="10"/>
  <c r="D590" i="10" l="1"/>
  <c r="D123" i="10"/>
  <c r="D558" i="10"/>
  <c r="D555" i="10"/>
  <c r="D552" i="10"/>
  <c r="D539" i="10"/>
  <c r="D536" i="10"/>
  <c r="D533" i="10"/>
  <c r="D525" i="10"/>
  <c r="D522" i="10"/>
  <c r="D498" i="10"/>
  <c r="D495" i="10"/>
  <c r="D492" i="10"/>
  <c r="D479" i="10"/>
  <c r="D476" i="10"/>
  <c r="D560" i="10" l="1"/>
  <c r="D527" i="10"/>
  <c r="D541" i="10"/>
  <c r="F117" i="10"/>
  <c r="D461" i="10"/>
  <c r="D452" i="10"/>
  <c r="D449" i="10"/>
  <c r="D446" i="10"/>
  <c r="D434" i="10"/>
  <c r="D428" i="10"/>
  <c r="D431" i="10"/>
  <c r="D414" i="10" l="1"/>
  <c r="D411" i="10"/>
  <c r="D408" i="10"/>
  <c r="D399" i="10"/>
  <c r="D386" i="10"/>
  <c r="D383" i="10"/>
  <c r="D380" i="10"/>
  <c r="D388" i="10" l="1"/>
  <c r="D370" i="10"/>
  <c r="D367" i="10"/>
  <c r="D364" i="10"/>
  <c r="D348" i="10"/>
  <c r="D338" i="10"/>
  <c r="D141" i="10"/>
  <c r="D332" i="10"/>
  <c r="D335" i="10"/>
  <c r="D354" i="10"/>
  <c r="D351" i="10"/>
  <c r="D319" i="10"/>
  <c r="D316" i="10"/>
  <c r="D313" i="10"/>
  <c r="D299" i="10"/>
  <c r="D296" i="10"/>
  <c r="D324" i="10" l="1"/>
  <c r="D340" i="10"/>
  <c r="D372" i="10"/>
  <c r="D175" i="10"/>
  <c r="D167" i="10" l="1"/>
  <c r="D164" i="10"/>
  <c r="D158" i="10" l="1"/>
  <c r="D161" i="10"/>
  <c r="D172" i="10" l="1"/>
  <c r="D148" i="10" l="1"/>
  <c r="D129" i="10"/>
  <c r="D481" i="10"/>
  <c r="D416" i="10" l="1"/>
  <c r="D454" i="10"/>
  <c r="D304" i="10"/>
  <c r="D356" i="10"/>
  <c r="D436" i="10"/>
  <c r="D500" i="10"/>
  <c r="D577" i="10"/>
  <c r="D605" i="10"/>
  <c r="F123" i="10"/>
  <c r="D1856" i="10" l="1"/>
  <c r="F1856" i="10" l="1"/>
  <c r="D1101" i="10" l="1"/>
  <c r="F1198" i="10"/>
  <c r="A1103" i="10"/>
  <c r="A1914" i="10"/>
  <c r="F260" i="10" l="1"/>
  <c r="F982" i="10"/>
  <c r="F1478" i="10"/>
  <c r="D1811" i="10"/>
  <c r="F1798" i="10"/>
  <c r="F1761" i="10" l="1"/>
  <c r="F1811" i="10"/>
  <c r="D2016" i="10"/>
  <c r="F2016" i="10" l="1"/>
  <c r="D2019" i="10" l="1"/>
  <c r="F2019" i="10" l="1"/>
  <c r="F1954" i="10"/>
  <c r="B2048" i="10" l="1"/>
  <c r="A2048" i="10"/>
  <c r="F804" i="10" l="1"/>
  <c r="D1956" i="10" l="1"/>
  <c r="D1974" i="10"/>
  <c r="A1873" i="10"/>
  <c r="D1912" i="10" l="1"/>
  <c r="D1891" i="10"/>
  <c r="D1903" i="10" s="1"/>
  <c r="D1871" i="10"/>
  <c r="F1871" i="10" l="1"/>
  <c r="F1903" i="10" l="1"/>
  <c r="F1841" i="10" l="1"/>
  <c r="F1873" i="10" s="1"/>
  <c r="F2047" i="10" s="1"/>
  <c r="D1626" i="10" l="1"/>
  <c r="D1610" i="10"/>
  <c r="D1603" i="10"/>
  <c r="F1618" i="10" l="1"/>
  <c r="F1626" i="10"/>
  <c r="F1610" i="10"/>
  <c r="F1603" i="10"/>
  <c r="D1733" i="10" l="1"/>
  <c r="D1727" i="10"/>
  <c r="D1730" i="10"/>
  <c r="D1690" i="10" l="1"/>
  <c r="D1703" i="10"/>
  <c r="D1677" i="10"/>
  <c r="D1735" i="10"/>
  <c r="F1568" i="10"/>
  <c r="F1654" i="10"/>
  <c r="F674" i="10"/>
  <c r="F1677" i="10" l="1"/>
  <c r="F1735" i="10"/>
  <c r="F1703" i="10"/>
  <c r="F1792" i="10"/>
  <c r="F1723" i="10"/>
  <c r="F1690" i="10"/>
  <c r="B2040" i="10" l="1"/>
  <c r="A2040" i="10"/>
  <c r="B2039" i="10"/>
  <c r="A2039" i="10"/>
  <c r="B2038" i="10"/>
  <c r="A2038" i="10"/>
  <c r="B2037" i="10"/>
  <c r="A2037" i="10"/>
  <c r="B2036" i="10"/>
  <c r="A2036" i="10"/>
  <c r="B2035" i="10"/>
  <c r="A2035" i="10"/>
  <c r="F1503" i="10" l="1"/>
  <c r="F1475" i="10"/>
  <c r="F1472" i="10"/>
  <c r="F1395" i="10" l="1"/>
  <c r="F1376" i="10"/>
  <c r="F1372" i="10"/>
  <c r="F1359" i="10"/>
  <c r="D1263" i="10"/>
  <c r="F1469" i="10" l="1"/>
  <c r="F1129" i="10"/>
  <c r="F1271" i="10"/>
  <c r="F1275" i="10"/>
  <c r="F1267" i="10"/>
  <c r="F1247" i="10"/>
  <c r="F1167" i="10"/>
  <c r="F816" i="10"/>
  <c r="B2050" i="10" l="1"/>
  <c r="A2050" i="10"/>
  <c r="B2049" i="10"/>
  <c r="A2049" i="10"/>
  <c r="B2047" i="10"/>
  <c r="A2047" i="10"/>
  <c r="B2046" i="10"/>
  <c r="A2046" i="10"/>
  <c r="B2045" i="10"/>
  <c r="A2045" i="10"/>
  <c r="B2044" i="10"/>
  <c r="A2044" i="10"/>
  <c r="B2043" i="10"/>
  <c r="A2043" i="10"/>
  <c r="L2042" i="10"/>
  <c r="B2042" i="10"/>
  <c r="A2042" i="10"/>
  <c r="B2041" i="10"/>
  <c r="A2041" i="10"/>
  <c r="A2032" i="10"/>
  <c r="F2014" i="10"/>
  <c r="F2008" i="10"/>
  <c r="F2002" i="10"/>
  <c r="F1999" i="10"/>
  <c r="F1996" i="10"/>
  <c r="A1989" i="10"/>
  <c r="F1972" i="10"/>
  <c r="F1948" i="10"/>
  <c r="F1924" i="10"/>
  <c r="A1821" i="10"/>
  <c r="A1656" i="10"/>
  <c r="F1633" i="10"/>
  <c r="F1594" i="10"/>
  <c r="F1590" i="10"/>
  <c r="F1579" i="10"/>
  <c r="F1560" i="10"/>
  <c r="F1549" i="10"/>
  <c r="A1539" i="10"/>
  <c r="F1537" i="10"/>
  <c r="F1527" i="10"/>
  <c r="F1466" i="10"/>
  <c r="F1451" i="10"/>
  <c r="F1415" i="10"/>
  <c r="F1407" i="10"/>
  <c r="F1405" i="10"/>
  <c r="F1347" i="10"/>
  <c r="A1315" i="10"/>
  <c r="F1263" i="10"/>
  <c r="F1243" i="10"/>
  <c r="A1218" i="10"/>
  <c r="F1196" i="10"/>
  <c r="F1192" i="10"/>
  <c r="F1184" i="10"/>
  <c r="F1143" i="10"/>
  <c r="F1101" i="10"/>
  <c r="F1085" i="10"/>
  <c r="F954" i="10"/>
  <c r="F866" i="10"/>
  <c r="F1539" i="10" l="1"/>
  <c r="F2044" i="10" s="1"/>
  <c r="F1315" i="10"/>
  <c r="F2043" i="10" s="1"/>
  <c r="F1218" i="10"/>
  <c r="F1089" i="10"/>
  <c r="F1912" i="10"/>
  <c r="F1072" i="10"/>
  <c r="F1819" i="10"/>
  <c r="F1748" i="10"/>
  <c r="F1974" i="10"/>
  <c r="F1956" i="10"/>
  <c r="F1891" i="10"/>
  <c r="F1984" i="10"/>
  <c r="F2030" i="10"/>
  <c r="F2032" i="10" s="1"/>
  <c r="F2050" i="10" s="1"/>
  <c r="F973" i="10"/>
  <c r="F964" i="10"/>
  <c r="F901" i="10"/>
  <c r="F912" i="10"/>
  <c r="F1821" i="10" l="1"/>
  <c r="F2046" i="10" s="1"/>
  <c r="F874" i="10"/>
  <c r="F1086" i="10"/>
  <c r="F1049" i="10"/>
  <c r="F945" i="10"/>
  <c r="F1013" i="10"/>
  <c r="F1068" i="10"/>
  <c r="F1037" i="10"/>
  <c r="F934" i="10"/>
  <c r="F1914" i="10"/>
  <c r="F2048" i="10" s="1"/>
  <c r="F1656" i="10"/>
  <c r="F2045" i="10" s="1"/>
  <c r="F2042" i="10"/>
  <c r="F839" i="10"/>
  <c r="F854" i="10"/>
  <c r="F1103" i="10" l="1"/>
  <c r="F2041" i="10" s="1"/>
  <c r="F786" i="10" l="1"/>
  <c r="F778" i="10"/>
  <c r="F661" i="10" l="1"/>
  <c r="F665" i="10"/>
  <c r="F688" i="10" l="1"/>
  <c r="F1940" i="10" l="1"/>
  <c r="F546" i="10"/>
  <c r="F590" i="10" l="1"/>
  <c r="F638" i="10"/>
  <c r="F1989" i="10"/>
  <c r="F2049" i="10" s="1"/>
  <c r="F486" i="10"/>
  <c r="F467" i="10" l="1"/>
  <c r="F500" i="10" l="1"/>
  <c r="F466" i="10"/>
  <c r="F461" i="10" l="1"/>
  <c r="F436" i="10" l="1"/>
  <c r="F454" i="10"/>
  <c r="F388" i="10"/>
  <c r="F416" i="10" l="1"/>
  <c r="F399" i="10" l="1"/>
  <c r="F207" i="10" l="1"/>
  <c r="F223" i="10" l="1"/>
  <c r="F69" i="10" l="1"/>
  <c r="F135" i="10" l="1"/>
  <c r="F129" i="10"/>
  <c r="F111" i="10"/>
  <c r="F102" i="10"/>
  <c r="F76" i="10"/>
  <c r="F277" i="10"/>
  <c r="F141" i="10"/>
  <c r="F324" i="10" l="1"/>
  <c r="F304" i="10"/>
  <c r="F220" i="10"/>
  <c r="F232" i="10"/>
  <c r="F243" i="10"/>
  <c r="F246" i="10"/>
  <c r="F201" i="10"/>
  <c r="F58" i="10"/>
  <c r="F813" i="10" l="1"/>
  <c r="F32" i="10" l="1"/>
  <c r="F605" i="10" l="1"/>
  <c r="F484" i="10"/>
  <c r="F620" i="10" l="1"/>
  <c r="F91" i="10" l="1"/>
  <c r="F667" i="10" l="1"/>
  <c r="L544" i="10" l="1"/>
  <c r="F560" i="10" l="1"/>
  <c r="F481" i="10"/>
  <c r="F175" i="10" l="1"/>
  <c r="F151" i="10" l="1"/>
  <c r="F282" i="10" l="1"/>
  <c r="F148" i="10" l="1"/>
  <c r="F733" i="10" l="1"/>
  <c r="F654" i="10" l="1"/>
  <c r="F676" i="10" s="1"/>
  <c r="F2039" i="10" l="1"/>
  <c r="F723" i="10"/>
  <c r="F774" i="10"/>
  <c r="F754" i="10"/>
  <c r="F1015" i="10" l="1"/>
  <c r="F2040" i="10" s="1"/>
  <c r="F340" i="10"/>
  <c r="F471" i="10" l="1"/>
  <c r="F577" i="10" l="1"/>
  <c r="F527" i="10" l="1"/>
  <c r="F356" i="10" l="1"/>
  <c r="F172" i="10" l="1"/>
  <c r="F284" i="10" l="1"/>
  <c r="F286" i="10" l="1"/>
  <c r="F2037" i="10" s="1"/>
  <c r="F27" i="10" l="1"/>
  <c r="F37" i="10" l="1"/>
  <c r="F46" i="10" s="1"/>
  <c r="F2035" i="10" l="1"/>
  <c r="A1015" i="10"/>
  <c r="A676" i="10" l="1"/>
  <c r="A640" i="10"/>
  <c r="A286" i="10" l="1"/>
  <c r="A279" i="10"/>
  <c r="F372" i="10" l="1"/>
  <c r="A46" i="10"/>
  <c r="F195" i="10" l="1"/>
  <c r="F279" i="10" s="1"/>
  <c r="F2036" i="10" l="1"/>
  <c r="F541" i="10"/>
  <c r="F640" i="10" l="1"/>
  <c r="F2038" i="10" l="1"/>
  <c r="F2052" i="10" s="1"/>
  <c r="H2058" i="10" l="1"/>
  <c r="F2053" i="10"/>
  <c r="F2054" i="10" s="1"/>
</calcChain>
</file>

<file path=xl/sharedStrings.xml><?xml version="1.0" encoding="utf-8"?>
<sst xmlns="http://schemas.openxmlformats.org/spreadsheetml/2006/main" count="1898" uniqueCount="1300">
  <si>
    <t>ФАСАДЕРСКИ РАДОВИ - укупно</t>
  </si>
  <si>
    <t>6.3.</t>
  </si>
  <si>
    <t>6.4.</t>
  </si>
  <si>
    <t>6.7.</t>
  </si>
  <si>
    <t>10.</t>
  </si>
  <si>
    <t>Обрачун по комаду отирача.</t>
  </si>
  <si>
    <t>2.1.</t>
  </si>
  <si>
    <t>2.2.</t>
  </si>
  <si>
    <t>7.</t>
  </si>
  <si>
    <t>ЗЕМЉАНИ РАДОВИ - укупно</t>
  </si>
  <si>
    <t>1.1.</t>
  </si>
  <si>
    <t>7.1.</t>
  </si>
  <si>
    <t>7.2.</t>
  </si>
  <si>
    <t>7.3.</t>
  </si>
  <si>
    <t>8.</t>
  </si>
  <si>
    <t>8.1.</t>
  </si>
  <si>
    <t>фасадна алуминарија</t>
  </si>
  <si>
    <t>РЕКАПИТУЛАЦИЈА</t>
  </si>
  <si>
    <t>СТОЛАРСКИ  РАДОВИ</t>
  </si>
  <si>
    <t>МОЛЕРСКО ФАРБАРСКИ РАДОВИ</t>
  </si>
  <si>
    <t>ФАСАДЕРСКИ РАДОВИ</t>
  </si>
  <si>
    <t>РАЗНИ РАДОВИ</t>
  </si>
  <si>
    <t>1.</t>
  </si>
  <si>
    <t>2.</t>
  </si>
  <si>
    <t>3.</t>
  </si>
  <si>
    <t>4.</t>
  </si>
  <si>
    <t>5.</t>
  </si>
  <si>
    <t>приземље</t>
  </si>
  <si>
    <t>ЛИМАРСКИ РАДОВИ</t>
  </si>
  <si>
    <t>КЕРАМИЧАРСКИ РАДОВИ</t>
  </si>
  <si>
    <t>Бр.</t>
  </si>
  <si>
    <t>Количина</t>
  </si>
  <si>
    <t>ком</t>
  </si>
  <si>
    <t>Опис радова</t>
  </si>
  <si>
    <t>А</t>
  </si>
  <si>
    <t>Б</t>
  </si>
  <si>
    <t>АxБ</t>
  </si>
  <si>
    <t>Јед. мере</t>
  </si>
  <si>
    <t>м²</t>
  </si>
  <si>
    <t>м¹</t>
  </si>
  <si>
    <t>м³</t>
  </si>
  <si>
    <t>Обрачун по м².</t>
  </si>
  <si>
    <t>ЗЕМЉАНИ РАДОВИ</t>
  </si>
  <si>
    <t>АРМИРАЧКИ РАДОВИ - укупно</t>
  </si>
  <si>
    <t>6.</t>
  </si>
  <si>
    <t>АЛУМИНАРИЈА И БРАВАРСКИ РАДОВИ</t>
  </si>
  <si>
    <t>МОЛЕРСКО ФАРБАРСКИ РАДОВИ - укупно</t>
  </si>
  <si>
    <t>СТОЛАРСКИ  РАДОВИ - укупно</t>
  </si>
  <si>
    <t>Обрачун по м³.</t>
  </si>
  <si>
    <t>БЕТОНСКИ И АРМИРАНО БЕТОНСКИ РАДОВИ</t>
  </si>
  <si>
    <t xml:space="preserve">АРМИРАЧКИ РАДОВИ </t>
  </si>
  <si>
    <t>Обрачун по килограму.</t>
  </si>
  <si>
    <t>кг</t>
  </si>
  <si>
    <t>ЗИДАРСКИ РАДОВИ</t>
  </si>
  <si>
    <t>малтерисање зидова</t>
  </si>
  <si>
    <t>ТЕСАРСКИ РАДОВИ</t>
  </si>
  <si>
    <t>ЗИДАРСКИ РАДОВИ - укупно</t>
  </si>
  <si>
    <t>ТЕСАРСКИ РАДОВИ - укупно</t>
  </si>
  <si>
    <t>ИЗОЛАТЕРСКИ РАДОВИ - укупно</t>
  </si>
  <si>
    <t>АЛУМИНАРИЈА И БРАВАРСКИ РАДОВИ - укупно</t>
  </si>
  <si>
    <t>ЛИМАРСКИ РАДОВИ - укупно</t>
  </si>
  <si>
    <t>Напомена:</t>
  </si>
  <si>
    <t>4.11.</t>
  </si>
  <si>
    <t>5.1.</t>
  </si>
  <si>
    <t>6.1.</t>
  </si>
  <si>
    <t>6.2.</t>
  </si>
  <si>
    <t>8.2.</t>
  </si>
  <si>
    <t>8.3.</t>
  </si>
  <si>
    <t>зидарска мера 100/210 цм</t>
  </si>
  <si>
    <t>11.</t>
  </si>
  <si>
    <t>11.1.</t>
  </si>
  <si>
    <t>11.2.</t>
  </si>
  <si>
    <t>11.3.</t>
  </si>
  <si>
    <t>12.</t>
  </si>
  <si>
    <t>2.9.</t>
  </si>
  <si>
    <t>2.10.</t>
  </si>
  <si>
    <t>14.</t>
  </si>
  <si>
    <t>14.1.</t>
  </si>
  <si>
    <t>15.</t>
  </si>
  <si>
    <t>15.1.</t>
  </si>
  <si>
    <t>15.2.</t>
  </si>
  <si>
    <t>13.</t>
  </si>
  <si>
    <t>13.1.</t>
  </si>
  <si>
    <t>9.</t>
  </si>
  <si>
    <t>3.1.</t>
  </si>
  <si>
    <t>4.1.</t>
  </si>
  <si>
    <t>2.6.</t>
  </si>
  <si>
    <t>16.</t>
  </si>
  <si>
    <t>16.1.</t>
  </si>
  <si>
    <t>16.3.</t>
  </si>
  <si>
    <t>16.2.</t>
  </si>
  <si>
    <t>БЕТОНСКИ И АРМ. БЕТОНСКИ РАДОВИ - укупно</t>
  </si>
  <si>
    <t>4.4.</t>
  </si>
  <si>
    <t>4.5.</t>
  </si>
  <si>
    <t>4.6.</t>
  </si>
  <si>
    <t>4.7.</t>
  </si>
  <si>
    <t>Обрачун по м¹.</t>
  </si>
  <si>
    <t>ИЗОЛАТЕРСКИ РАДОВИ</t>
  </si>
  <si>
    <t>16.6.</t>
  </si>
  <si>
    <t>Обрачун по комаду.</t>
  </si>
  <si>
    <t>Обрачун по м² са израдом армирано бетонских серклажа, арматуром и оплатом.</t>
  </si>
  <si>
    <t>Обрачун по комаду описане позиције.</t>
  </si>
  <si>
    <t>Обрачун по комаду уграђених казанчића.</t>
  </si>
  <si>
    <t xml:space="preserve"> м² </t>
  </si>
  <si>
    <t>КЕРАМИЧАРСКИ РАДОВИ - укупно</t>
  </si>
  <si>
    <t>СУВОМОНТАЖНИ РАДОВИ</t>
  </si>
  <si>
    <t>СУВОМОНТАЖНИ РАДОВИ - укупно</t>
  </si>
  <si>
    <t>РАЗНИ РАДОВИ - укупно</t>
  </si>
  <si>
    <t>Обујмице са држачима поставити на размаку од 200 цм. Преко обујмица поставити украсну пластифицирану траку. Завршетак олучне цеви по детаљу.</t>
  </si>
  <si>
    <t>Обрачун по м², са радном скелом.</t>
  </si>
  <si>
    <t>Завршно чишћење просторија са прањем комплетне столарије и браварије, стакала и др, непосредно пред технички пријем.</t>
  </si>
  <si>
    <t>ознака 1 у кругу</t>
  </si>
  <si>
    <t>ознака 2 у кругу</t>
  </si>
  <si>
    <t>ознака 3 у дуплом квадрату</t>
  </si>
  <si>
    <t>1.2.</t>
  </si>
  <si>
    <t>5.3.</t>
  </si>
  <si>
    <t>15.4.</t>
  </si>
  <si>
    <t>Радити у свему према спецификацији произвођача.</t>
  </si>
  <si>
    <t>вертикала Ø 125 мм</t>
  </si>
  <si>
    <t>укупно Пос 6.3.2.</t>
  </si>
  <si>
    <t>Обрачун по комаду уграђених, и финално обрађених врата.</t>
  </si>
  <si>
    <t>ПВЦ СТОЛАРИЈА</t>
  </si>
  <si>
    <t>ПВЦ СТОЛАРИЈА - укупно</t>
  </si>
  <si>
    <t>2. Према величини крила одредити број шарки и носивост, за врата мин 2-3 ком по висини крила.</t>
  </si>
  <si>
    <t>3. Сви радови за ПВЦ столарију изводе се према појединачним описима шема, детаљима и овереним радионичким цртежима.</t>
  </si>
  <si>
    <t>Обрачун по комаду уграђених и  застакљених позиција.</t>
  </si>
  <si>
    <t>ознака 2   у дуплом кругу</t>
  </si>
  <si>
    <t>ознака 3   у дуплом кругу</t>
  </si>
  <si>
    <t>Обрачун по комаду уграђених, застакљених и финално обрађених позиција.</t>
  </si>
  <si>
    <t>9.2.</t>
  </si>
  <si>
    <t>ознака 2 у дуплом квадрату</t>
  </si>
  <si>
    <t>Обрачун по комаду уграђених,  финално обрађених позиција.</t>
  </si>
  <si>
    <t>Обрачун по комаду уграђених, финално обрађених позиција.</t>
  </si>
  <si>
    <t>зидарска мера 70/70цм</t>
  </si>
  <si>
    <t>метални капак -  за излаз на кров</t>
  </si>
  <si>
    <t>Обрачун по м¹ уграђених и финално обрађених ограда.</t>
  </si>
  <si>
    <t>2.4.</t>
  </si>
  <si>
    <t>2.5.</t>
  </si>
  <si>
    <t>2.7.</t>
  </si>
  <si>
    <t>2.8.</t>
  </si>
  <si>
    <t>фасадни зидови</t>
  </si>
  <si>
    <t>4.2.</t>
  </si>
  <si>
    <t>4.3.</t>
  </si>
  <si>
    <t>4.8.</t>
  </si>
  <si>
    <t>4.9.</t>
  </si>
  <si>
    <t>Рад на монтажи плафона посебно координирати са извођачем инсталација да не би дошло до непотребне демонтаже и поновне монтаже елемената.</t>
  </si>
  <si>
    <t>5.2.</t>
  </si>
  <si>
    <t>6.10.</t>
  </si>
  <si>
    <t>6.11.</t>
  </si>
  <si>
    <t xml:space="preserve">После облагања зидова, све шупљине између плочица и зида залити ретким цементним малтером. </t>
  </si>
  <si>
    <t>6.3.2.</t>
  </si>
  <si>
    <t>Обрачун по м², м³ са потребном оплатом и челичним подупирачима.</t>
  </si>
  <si>
    <t>15.3.</t>
  </si>
  <si>
    <t>ознака 7  у дуплом кругу</t>
  </si>
  <si>
    <t>12.2.</t>
  </si>
  <si>
    <t>12.1.1.</t>
  </si>
  <si>
    <t>12.1.2.</t>
  </si>
  <si>
    <t>12.3.</t>
  </si>
  <si>
    <t>12.4.</t>
  </si>
  <si>
    <t>димензија 100/50 цм</t>
  </si>
  <si>
    <t>зидарска мера 100/50цм</t>
  </si>
  <si>
    <t>16.4.</t>
  </si>
  <si>
    <t>6.8.</t>
  </si>
  <si>
    <t>6.9.</t>
  </si>
  <si>
    <t>2.11.</t>
  </si>
  <si>
    <t>рампа</t>
  </si>
  <si>
    <t>укупно Пос 16.7.</t>
  </si>
  <si>
    <t xml:space="preserve">Напомена: </t>
  </si>
  <si>
    <t>Ограду на степеништу, радити према датим шемама.</t>
  </si>
  <si>
    <t>6.6.</t>
  </si>
  <si>
    <t>Пре малтерисања површине очистити од прашине, опрати и прскати цементним млеком са додатком просејаног шљунка.</t>
  </si>
  <si>
    <t>Обрачун по м² омалтерисане површине.</t>
  </si>
  <si>
    <t>укупно Пос 4.1.</t>
  </si>
  <si>
    <t>вертикални серклажи</t>
  </si>
  <si>
    <t>4.10.</t>
  </si>
  <si>
    <t>Обрачун по м² хоризонталне пројекције уграђене и заштићене кровне конструкције.</t>
  </si>
  <si>
    <t>укупно Пос 12.3.</t>
  </si>
  <si>
    <t>укупно Пос 15.2.</t>
  </si>
  <si>
    <t>зидарска мера 90/210цм</t>
  </si>
  <si>
    <t>ознака 2 у осмоуглу</t>
  </si>
  <si>
    <t>Ограду радити према датим шемама.</t>
  </si>
  <si>
    <t>унутрашња ограда степеништа</t>
  </si>
  <si>
    <t>9.1.</t>
  </si>
  <si>
    <t>9.3.</t>
  </si>
  <si>
    <t>ознака 2*   у дуплом кругу</t>
  </si>
  <si>
    <t>ознака 1А у квадрату</t>
  </si>
  <si>
    <t>Израда према радионичких детаљима произвођача са обавезним усаглашавањем са пројектантом.</t>
  </si>
  <si>
    <t>1.4.</t>
  </si>
  <si>
    <t>2.12.</t>
  </si>
  <si>
    <t>4.12.</t>
  </si>
  <si>
    <t>4.13.</t>
  </si>
  <si>
    <t>4.13.1.</t>
  </si>
  <si>
    <t>укупно Пос 4.13.1.</t>
  </si>
  <si>
    <t>укупно Пос 6.3.1.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</si>
  <si>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</si>
  <si>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</si>
  <si>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</si>
  <si>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</si>
  <si>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</si>
  <si>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</si>
  <si>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</si>
  <si>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</si>
  <si>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</si>
  <si>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</si>
  <si>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</si>
  <si>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</si>
  <si>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</si>
  <si>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укупно Пос 14.2.</t>
  </si>
  <si>
    <t>10.14.</t>
  </si>
  <si>
    <t>6.12.</t>
  </si>
  <si>
    <t>13.2.</t>
  </si>
  <si>
    <t>16.5.</t>
  </si>
  <si>
    <t>6.13.</t>
  </si>
  <si>
    <t>Набавка и уградња подног отирача. Отирач у улазном ветробрану , од гумених и челичних трака. Отирач у раму од стандардних "L" профила убетонираних у нивоу пода.</t>
  </si>
  <si>
    <t>Носач решетке од челичних L профила 50/50/2.5мм, рам  50/25/2.5 са испуном од флаха 20/2.5 на размаку од 25мм.</t>
  </si>
  <si>
    <t>1.3.</t>
  </si>
  <si>
    <t>Уграђена термоизолација мора имати термичке и механичке особине, прописане елаборатом грађевинске физике.</t>
  </si>
  <si>
    <t xml:space="preserve">Истовремено са зидањем  бетонирати хоризонталне и вертикалне армирано бетонске серклаже. </t>
  </si>
  <si>
    <t>укупно Пос 4.4.</t>
  </si>
  <si>
    <t>укупно Пос 4.5.</t>
  </si>
  <si>
    <t>укупно Пос 4.6.</t>
  </si>
  <si>
    <t xml:space="preserve">Током извођења радова обезбедити стални геотехнички надзор. </t>
  </si>
  <si>
    <t xml:space="preserve">Насипање пробраног материјала из ископа око укопаних зидова, према пројектованом терену. Насипање ископаног материјала радити у слојевима дебљине 30-35 цм. </t>
  </si>
  <si>
    <t>1.5.</t>
  </si>
  <si>
    <t>2.3.</t>
  </si>
  <si>
    <t>укупно Пос 4.10.</t>
  </si>
  <si>
    <t>4.13.2.</t>
  </si>
  <si>
    <t>4.14.</t>
  </si>
  <si>
    <t>4.14.1.</t>
  </si>
  <si>
    <t>укупно Пос 4.14.1.</t>
  </si>
  <si>
    <t>4.14.2.</t>
  </si>
  <si>
    <t>укупно Пос 4.14.2.</t>
  </si>
  <si>
    <t>4.14.3.</t>
  </si>
  <si>
    <t>4.14.4.</t>
  </si>
  <si>
    <t>укупно Пос 4.14.4.</t>
  </si>
  <si>
    <t>4.15.</t>
  </si>
  <si>
    <t>4.15.1.</t>
  </si>
  <si>
    <t>укупно Пос 4.15.1.</t>
  </si>
  <si>
    <t>4.16.</t>
  </si>
  <si>
    <t>6.14.</t>
  </si>
  <si>
    <t>6.15.</t>
  </si>
  <si>
    <t>6.16.</t>
  </si>
  <si>
    <t>Извођење вршити машинским путем са потпуним изравнавањем слоја.</t>
  </si>
  <si>
    <t>Начин уградње је суви поступак са заливањем пур пеном.</t>
  </si>
  <si>
    <t>1. Све позиције обрађене у столарским радовима радити у свему према шемама детаљима и овереним радионичким цртежима.</t>
  </si>
  <si>
    <t>2. Израда радионичке документације је обавеза извођача, оверава је пројектант или надзорни орган.</t>
  </si>
  <si>
    <t xml:space="preserve">4. Завршна обрада је према појединачном опису и усвојеним узорцима завршних обрада.        </t>
  </si>
  <si>
    <t>5. Оков се уграђује на основу усвојених узорака. Сва столарија мора бити атестирана. Мере узети на лицу места. Отварање према приказу у основама.</t>
  </si>
  <si>
    <t>6.  Уградња је суви поступак са заливањем пур пеном.</t>
  </si>
  <si>
    <t xml:space="preserve">7. Приликом уградње приступити у свему према упутству произвођача. </t>
  </si>
  <si>
    <t>2. Финална обрада алуминарије је пластификација.</t>
  </si>
  <si>
    <t xml:space="preserve">3. Носећа конструкција је од алуминијумских профила, штокови се уграђују у сувој монтажи, преко челичних флахова анкерованих у зид. </t>
  </si>
  <si>
    <t>По целом обиму отвора извести заптивање "пур пеном".</t>
  </si>
  <si>
    <t>4. Према величини крила одредити број шарки и носивост, за врата мин 3 ком по висини крила.</t>
  </si>
  <si>
    <t>5. По целом обиму радити двоструки дихтунг профил (мин 3 преклопа).</t>
  </si>
  <si>
    <t>6. У склопу шеме је подпрозорна алуминијумска даска и прекривни обимни профил (веза са зидом).</t>
  </si>
  <si>
    <t>Радионичку документацију ради извођач радова, на основу својих технолошких решења, а одобрење за израду елемената је потписана радионичка документација од стране пројектанта или надзорног органа.</t>
  </si>
  <si>
    <t>8. Браварске позиције се морају извести од стандардних челичних профила, лимова, вучених кутијастих профила.</t>
  </si>
  <si>
    <t>9. 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узорку. У спровођењу антикорозивне заштите морају се спровести све операције (одмашћивање, чишћење од рђе, премазивање).</t>
  </si>
  <si>
    <t>Уколико димензије одговарајућих позиција то захтевају алуминијумски профили се димензионишу према статичком прорачуну.</t>
  </si>
  <si>
    <t>противпожарни капак у таваници на 4 спрату</t>
  </si>
  <si>
    <t>Снабдевени су цилиндар бравицом са три кључа и плочицом са бројем стана. Поштанске сандучиће анкеровати у зидове, све према спецификацији произвођача.</t>
  </si>
  <si>
    <t>Све елементе заштитити против корозије антикорозивним премазом и бојити два пута емајл лаком у тону  тону по избору пројектанта.</t>
  </si>
  <si>
    <t>-Сав вишак ископаног материјала се депонује на привремену градилишну депонију за насипање и уређење терена (Пројекат уређења слободних површина).</t>
  </si>
  <si>
    <t>- Место градилишне депоније дефинише Надзорни орган</t>
  </si>
  <si>
    <t>Пре машинског ископа урадити премеравање, обележавање и  исколчавање зидова будуће зграде.</t>
  </si>
  <si>
    <t xml:space="preserve">Од утврђеног  положаја предњег зида у односу на регулациону линију, одмерити углове и дужине осталих зидова.  </t>
  </si>
  <si>
    <t>Обрачун по м³ ископаног самониклог  материјала, са депоновањем на привремену градилишну депонију.</t>
  </si>
  <si>
    <t>Обрачун по м³, превезеног материјала.</t>
  </si>
  <si>
    <t>Приликом анкеровања у фасадни зид од гитер блока радове изводити пажљиво. Уградњу радити у свему према принципу Рал монтаже, применити две заптивне траке, једну спољну и једну унутрашњу.</t>
  </si>
  <si>
    <t>7. Мере узети на лицу места, отварање према приказу у основама.</t>
  </si>
  <si>
    <t>Радити по детаљу произвођа уз сагласност  које усваја Пројектант, уз сагласност Инвеститора.</t>
  </si>
  <si>
    <t>Произвођач је дужан да дефинише начин уградње радионичким цртежима на које је обавезан да добије сагласност  које усваја Пројектант, уз сагласност Инвеститора.</t>
  </si>
  <si>
    <t>8.4.</t>
  </si>
  <si>
    <t>8.5.</t>
  </si>
  <si>
    <t>Обрачун по м³ са потребном глатком оплатом и челичним подупирачима.</t>
  </si>
  <si>
    <t>Обрачун по м³ у збијеном стању, са довозом материјала са привремене градилишне  депоније.</t>
  </si>
  <si>
    <t>Шљунак мора бити чист, без органских примеса.</t>
  </si>
  <si>
    <t>12.1.</t>
  </si>
  <si>
    <t>укупно Пос 15.4.</t>
  </si>
  <si>
    <t>6.11.1.</t>
  </si>
  <si>
    <t>Темељну јаму изнивелисати са дозвољеним одступањем од ±3 цм.</t>
  </si>
  <si>
    <t>Укупно динара без ПДВ-а:</t>
  </si>
  <si>
    <t>Вредност ПДВ-а:</t>
  </si>
  <si>
    <t>Укупно динара са ПДВ-а:</t>
  </si>
  <si>
    <t>Јединична цена без ПДВ-а (дин)</t>
  </si>
  <si>
    <t>Укупна цена  без ПДВ-а (дин)</t>
  </si>
  <si>
    <t>2.13.</t>
  </si>
  <si>
    <t>4.17.</t>
  </si>
  <si>
    <t>Предвидети све приборе и заптивне материјале, интегрисани систем вентилирања и дренаже (одвођење кондеза у спољну средину). 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 Фасадна облога покрива вертикалне делове спољашњег рама позиције.</t>
  </si>
  <si>
    <t>Обрачун по м³ са потребном оплатом.</t>
  </si>
  <si>
    <t>Обрачун по м² изведене хидроизолације.</t>
  </si>
  <si>
    <t>Обрачун по м¹ уграђених олучних хоризонтала.</t>
  </si>
  <si>
    <t>12.2.1.</t>
  </si>
  <si>
    <t>12.2.2.</t>
  </si>
  <si>
    <t>укупно Пос 12.2.2.</t>
  </si>
  <si>
    <t>укупно Пос 12.2.1.</t>
  </si>
  <si>
    <t>12.4.1.</t>
  </si>
  <si>
    <t>Радити у свему према спецификацији произвођача и према графичкој документацији.</t>
  </si>
  <si>
    <t>15.5.</t>
  </si>
  <si>
    <t>Радити у свему према статичком прорачуну и детаљима арматуре.</t>
  </si>
  <si>
    <t>Механизовани утовар и одвоз вишка ископаног материјала на градилишну депонију где одреди надзорни орган.</t>
  </si>
  <si>
    <t xml:space="preserve"> Количина дата са увећањем за коефицијент товарења.</t>
  </si>
  <si>
    <t>Извођач је у обавези да приликом изградње пројектованог објекта, после изградње прве етаже постави репере и сними ''нултно стање'' у циљу праћења слегања, као у току изградње прве етаже, тако редовно на свакој следећој етажи.</t>
  </si>
  <si>
    <t>По завршетку изградње објекта снимање вршити на свака три месеца у трајању минимум 2 (две) године</t>
  </si>
  <si>
    <t>Обрачун по м³  са потребном оплатом  и челичним подупирачима.</t>
  </si>
  <si>
    <t xml:space="preserve">Набавка материјала, транспорт и бетонирање зидова дебљине дз=20 цм, армираним бетоном МБ 30 (С25/30), са остављањем потребних анкера и отвора. </t>
  </si>
  <si>
    <t>На сваких 2,00 м¹ тротоара узвести дилатационе разделнице ширине 2 цм и испунити их 2/3 песком и 1/3 врућим битуменом.</t>
  </si>
  <si>
    <t xml:space="preserve">Тротоар одвојити разделницом ширине 2 цм, дуж целог објекта и разделницу испунити врућим битуменом. </t>
  </si>
  <si>
    <t>стубови правоугаоног пресека</t>
  </si>
  <si>
    <t>2.14.</t>
  </si>
  <si>
    <t>2.15.</t>
  </si>
  <si>
    <t>Набавка материјала, транспорт и бетонирање стубова и вертикалних серклажа, армираним бетоном МБ 30 (С25/30).</t>
  </si>
  <si>
    <t>2.16.</t>
  </si>
  <si>
    <t>Обрачун по м², са потребном глатком оплатом, челичним подупирачима и оплатом степеника.</t>
  </si>
  <si>
    <t>2.18.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</si>
  <si>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на улазу у објекат.</t>
  </si>
  <si>
    <t>Набавка материјала, транспорт и бетонирање међуспратних плоча, дебљине дп=18 цм, армираним бетоном МБ 30 (С25/30), са остављањем анкера и отвора.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</si>
  <si>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у објекту.</t>
  </si>
  <si>
    <t>Набавка материјала, транспорт и бетонирање греда и хоризонталних серклажа армираним бетоном МБ 30 (С25/30).</t>
  </si>
  <si>
    <t>хоризонтални серклажи</t>
  </si>
  <si>
    <t xml:space="preserve">Тротоар је од неармираног бетона МБ 25, армиран мрежом Q 131. Горњу површину тротоара извести у нагибу од објекта. </t>
  </si>
  <si>
    <t>Количина арматуре дата  апроксимативно, до израде детаља, тако да може да дође до корекције количине.</t>
  </si>
  <si>
    <t>Набавка, транспорт, сечење, савијање и уградња арматуре Б 500 и МАГ.</t>
  </si>
  <si>
    <t>Рампа је дебљине дп=15 цм, са падом према графичкој документацији.</t>
  </si>
  <si>
    <t>Набавка материјала, транспорт и израда подне плоче приземља, армираним бетоном МБ 30 (С25/30). Плоча је дебљине дп=18 цм.</t>
  </si>
  <si>
    <t xml:space="preserve">Набавка материјала, транспорт и бетонирање темељних трака, армираним бетоном МБ 30 (С25/30), са остављањем потребних анкера. </t>
  </si>
  <si>
    <t>Обрачун по м³  са потребном оплатом.</t>
  </si>
  <si>
    <t xml:space="preserve">Набавка материјала, транспорт и бетонирање темељних зидова дебљине дз=25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</si>
  <si>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дз=20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</si>
  <si>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дз=16 цм, армираним бетоном МБ 30 (С25/30), са остављањем потребних анкера. </t>
  </si>
  <si>
    <t>Обрачун по м³  са потребном металном оплатом  и челичним подупирачима.</t>
  </si>
  <si>
    <t>Набавка материјала, транспорт и бетонирање зидова дебљине дз=16 цм, армираним бетоном МБ 30 (С25/30), са остављањем потребних анкера и отвора.</t>
  </si>
  <si>
    <t xml:space="preserve">Набавка материјала, транспорт и бетонирање зидова дебљине дз=25 цм, армираним бетоном МБ 30 (С25/30), са остављањем потребних анкера и отвора. </t>
  </si>
  <si>
    <t xml:space="preserve">Набавка материјала, транспорт и бетонирање рампе на улазу у објекат, армираним бетоном МБ 30 (С25/30). </t>
  </si>
  <si>
    <t>коса степенишна плоча дп=15 цм</t>
  </si>
  <si>
    <t>плоча степенишних подеста дп=15 цм</t>
  </si>
  <si>
    <t>Дебљина зида дз=20 цм.</t>
  </si>
  <si>
    <t>Зидање је по систему перо-жљеб, у продужном малтеру размере 1:2:6.</t>
  </si>
  <si>
    <t>Дебљина зида дз=25 цм.</t>
  </si>
  <si>
    <t>укупно Пос 4.2.</t>
  </si>
  <si>
    <t>Набавка материјала, транспорт и зидање фасадних зидова клима блоком димензија 380/200/238 мм.</t>
  </si>
  <si>
    <t>Набавка материјала, транспорт и зидање фасадних зидова клима блоком димензија 380/250/238 мм.</t>
  </si>
  <si>
    <t>Набавка материјала, транспорт и зидање зидова гитер блоком димензија 250/190/190 мм.</t>
  </si>
  <si>
    <t xml:space="preserve">Зидање је у продужном малтеру размере 1:2:6. </t>
  </si>
  <si>
    <t>укупно Пос 4.3.</t>
  </si>
  <si>
    <t>Дебљина зида дз=19 цм.</t>
  </si>
  <si>
    <t>Набавка материјала, транспорт и зидање зидова дебљине дз=12, пуном опеком у продужном малтеру размере 1:2:6</t>
  </si>
  <si>
    <t>Набавка материјала, транспорт и уградња неармираног бетона МБ 20, дебљине д=10 цм.</t>
  </si>
  <si>
    <t xml:space="preserve">Плоча је армирана синтетичким влакнима на бази пропилена (фибер влакна). </t>
  </si>
  <si>
    <t>Дозирање влакана је према спецификацији произвођача.</t>
  </si>
  <si>
    <t xml:space="preserve">Бетон је водонепропусни V-6. </t>
  </si>
  <si>
    <t>фасадне греде</t>
  </si>
  <si>
    <t>унутрашње греде</t>
  </si>
  <si>
    <t xml:space="preserve">греде тераса </t>
  </si>
  <si>
    <t>ободна греда - венац</t>
  </si>
  <si>
    <t>плоче тераса</t>
  </si>
  <si>
    <t>плоче  стреха</t>
  </si>
  <si>
    <t>Набавка материјала, транспорт и бетонирање плоча, дебљине дп=15 цм, армираним бетоном МБ 30 (С25/30), са остављањем анкера и отвора.</t>
  </si>
  <si>
    <t>Набавка материјала, транспорт и бетонирање горње плоче лиф окна, дебљине дп=20 цм, армираним бетоном МБ 30 (С25/30), са остављањем анкера и отвора.</t>
  </si>
  <si>
    <t>први спрат</t>
  </si>
  <si>
    <t>типски спрат 2 - 4</t>
  </si>
  <si>
    <t>Серклаже извести бетоном МБ 20, димензије серклажа 12/20 цм, арматура ± 2 Ø 10 мм, узенгије Ø 8/25.</t>
  </si>
  <si>
    <t>Набавка, транспорт и монтажа вентилационих канала.</t>
  </si>
  <si>
    <t>Вентилациони систем је типа "Schiedel" LS 2 или одговарајуће, са једним секундарним и једним примарним каналом.</t>
  </si>
  <si>
    <t>Елементи су израђени од лаког бетона, димензије елеменатасу 25/38,5/33 цм, дебљина спољних зидова канала је 2,5 цм.</t>
  </si>
  <si>
    <t>Примарни канал је П=400 цм², секундарни канал је П=240 цм².</t>
  </si>
  <si>
    <t>Уз вентилационе елементе испоручити и уградити све припадајуће фазонске елементе: вентилационе решетке и покривне розете од поцинкованог бојеног лима, а у свему према спецификацији произвођача.</t>
  </si>
  <si>
    <t>Вентилациони систем мора да поседује декларацију о својствима СРПС ЕН 771-3:2012 стандард.</t>
  </si>
  <si>
    <t>Набавка материјала, транспорт и облагање зидова купатила, плочама поробетона (типа Итонг или одговарајуће).</t>
  </si>
  <si>
    <t>Плоче су димензија 625/250 мм, д=75 мм, са коефицијент топлотне проводљивости λ≤0,12 W/mK.</t>
  </si>
  <si>
    <t>Плоче се лепе за зидове од армираног бетона и гитер блока, одговарајућим лепком, у свему према спцификацији и упутству произвођача.</t>
  </si>
  <si>
    <t>зидови УЗТ 1*, УЗТ 1**, УЗТ 3*, СЗ 2**</t>
  </si>
  <si>
    <t>Набавка материјала, транспорт и обзиђивање вентилационих канала, плочама поробетона (типа Итонг или одговарајуће).</t>
  </si>
  <si>
    <t>Плоче се зидају у танкослојном малтеру, у свему према спцификацији и упутству произвођача.</t>
  </si>
  <si>
    <t>Плоче треба да су отпорне на пожар у трајању од 90 минута.</t>
  </si>
  <si>
    <t>Извођач радова треба да приложи сертификат за горивост, издат од стране акредитованог тела.</t>
  </si>
  <si>
    <t>укупно Пос 4.8.</t>
  </si>
  <si>
    <t>Набавка материјала, транспорт и обзиђивање инсталационих канала (зид СЗ5, у ходнику објекта), блоковима поробетона (типа Итонг или одговарајуће).</t>
  </si>
  <si>
    <t>Блокови су димензија 625/250 мм, д=150 мм.</t>
  </si>
  <si>
    <t>Зидају се у танкослојном малтеру, у свему према спцификацији и упутству произвођача.</t>
  </si>
  <si>
    <t>Блокови су отпорни на пожар у трајању од 180 минута.</t>
  </si>
  <si>
    <t>укупно Пос 4.9.</t>
  </si>
  <si>
    <t>Набавка материјала, транспорт и обзиђивање вентилационих канала у тавану и изнад крова, пуном опеком д=12 цм, у продужном малтеру размере 1:2:6.</t>
  </si>
  <si>
    <t>Истовремено са зидањем  бетонирати хоризонталне армирано бетонске серклаже, на половини висине и на завршетку обзида.</t>
  </si>
  <si>
    <t>Серклаже извести бетоном МБ 20, димензије серклажа 12/20 цм, арматура ± 2 Ø 8 мм, узенгије Ø 6/25.</t>
  </si>
  <si>
    <t>Обрачун по м² изведеног обзида са израдом серклажа, арматуром и оплатом.</t>
  </si>
  <si>
    <t>Набавка материјала, транспорт, израда и уградња елемената на завршетку вентилационих канала, изнад крова.</t>
  </si>
  <si>
    <t>Канали се завршавају бетонском плочом, са горњом површином у паду, у свему према детаљу.</t>
  </si>
  <si>
    <t>Обрачун по комаду уграђених завршних капа.</t>
  </si>
  <si>
    <t xml:space="preserve">Набавка материјала, транспорт и израда цементне кошуљице размере 1:3, која се лије као подлога за подове. </t>
  </si>
  <si>
    <t>цементна кошуљица д=5 цм</t>
  </si>
  <si>
    <t>подлога у поду МКС 4</t>
  </si>
  <si>
    <t>цементна кошуљица д=4 цм</t>
  </si>
  <si>
    <t>4.13.3.</t>
  </si>
  <si>
    <t>цементна кошуљица у паду д=3-4,5 цм</t>
  </si>
  <si>
    <t>подлога у поду ТЕ</t>
  </si>
  <si>
    <t>Дилатационе спојнице се постављају на мах 25 м².</t>
  </si>
  <si>
    <t>У просторијама где се полаже паркет, естрих мора да буде осушен до 3%.</t>
  </si>
  <si>
    <t>подлога у поду КИН 2</t>
  </si>
  <si>
    <t xml:space="preserve">подлога у поду КИН 5, МКС 2 </t>
  </si>
  <si>
    <t>Набавка материјала, транспорт и малтерисање унутрашњих зидова и плафона продужним малтером, размере 1:3:9, у два слоја. Први слој дебљине д=1,5 цм радити од грубог, несејаног малтера, а други слој од просејаног малтера дебљине д=0,5 цм.</t>
  </si>
  <si>
    <t>Обрачун по м² омалтерисане површине, са свим потребним предрадњама, материјалом и радном скелом.</t>
  </si>
  <si>
    <t>укупно Пос 4.16.</t>
  </si>
  <si>
    <t xml:space="preserve">Пре малтерисања, површину зида припремити , нанети подлогу , па готову смесу малтера, у дебљини од 3-6 мм, у свему према спецификавији и упутству произвођача. </t>
  </si>
  <si>
    <t>4.18.</t>
  </si>
  <si>
    <t>укупно Пос 4.18.</t>
  </si>
  <si>
    <t>4.15.2.</t>
  </si>
  <si>
    <t>малтерисање плафона</t>
  </si>
  <si>
    <t>укупно Пос 4.15.2.</t>
  </si>
  <si>
    <t>Набавка материјала, транспорт и малтерисање унутрашњих зидова преко термоизолације, Q мреже и рабиц плетива, продужним малтером размере 1:3:9, у два слоја.</t>
  </si>
  <si>
    <t>(Q мрежа и рабиц плетиво су обрачунати уз термоизолацију).</t>
  </si>
  <si>
    <t>Први слој дебљине д=1,5 цм радити од грубог, несејаног   малтера, а други слој од просејаног малтера.</t>
  </si>
  <si>
    <t>зидови СЗ 1, СЗ 1*, СЗ 2, СЗ 2*, СЗ 2**, СЗ 3, УЗ Т1, УЗ Т1*, УЗ Т2, УЗ Т3, УЗ Т3*</t>
  </si>
  <si>
    <t xml:space="preserve">Малтер је са додатком експандираног полистирена и треба да има коефицијент топлотне проводљивости  λ≤0,09 W/mK. </t>
  </si>
  <si>
    <t>Припрема подлоге и наношења малтера на плафон у свему према спецификацији и упутству произвођача.</t>
  </si>
  <si>
    <t>Обрачун по м² омалтерисане површине, са припремом подлоге и потребном радном скелом.</t>
  </si>
  <si>
    <t xml:space="preserve">Набавка материјала, транспорт, израда и уградња дрвене конструкције крова К1, са падом од 25%. Конструкција је израђена од суве и квалитетне грађе, од четинара  друге класе. </t>
  </si>
  <si>
    <t>Димензије елемената крова према статичком прорачуну:</t>
  </si>
  <si>
    <t>- рог 10/14 цм, на размаку 60-120 цм</t>
  </si>
  <si>
    <t>- стуб 14/14 цм</t>
  </si>
  <si>
    <t>- кљешта 2х5/14 цм</t>
  </si>
  <si>
    <t>Урадити све прописане тесарске везе кровних елемената и ојачања од флах гвожђа, котви, завртњева, кламфи и слично.</t>
  </si>
  <si>
    <t xml:space="preserve">Све елементе кровне конструкције заштитити против влаге и инсеката, одговарајућим премазом, по избору пројектанта. </t>
  </si>
  <si>
    <t>Обрачун по м² хоризонталне пројекције уграђене и заштићене дрвене кровне конструкције.</t>
  </si>
  <si>
    <t>Набавка материјала, транспорт, израда и уградња дрвене конструкције једноводног крова К2.</t>
  </si>
  <si>
    <t xml:space="preserve">Конструкција је решетка израђена од суве и квалитетне грађе, од четинара  друге класе, </t>
  </si>
  <si>
    <t xml:space="preserve">Решетка је трапезног облика, израђена од гредица 10/10 цм, горњи појас је у паду од 28,7%. </t>
  </si>
  <si>
    <t xml:space="preserve">Кровну конструкцију заштитити против влаге и инсеката, одговарајућим премазом, по избору пројектанта. </t>
  </si>
  <si>
    <t>Преко оплате поставити један слој битуменске лепенке, са преклопима од 10 цм, у оба правца. ОСБ плоче и битуменска лепенка се постављају као подлога за кровни покривач од лима.</t>
  </si>
  <si>
    <t>Обрачун по м² постављене опшивке и битуменске лепенке, мерено по косини крова.</t>
  </si>
  <si>
    <t>Хидроизолација се изводи преко подлоге од неармираног бетона.</t>
  </si>
  <si>
    <t>Изолацију уз обимне зидове, преко холкела, подићи за 20 цм, а иза када до висине од 180 цм, што је саставни део позиције.</t>
  </si>
  <si>
    <t>Набавка материјала, транспорт и израда термоизолације фасадних зидова у систему контактне фасаде са каменом вуном – "Bekatherm prestige" или одговарајуће.</t>
  </si>
  <si>
    <t>ЕТА сертификовани фасадни система контактне фасаде (ETIKS), са завршном обрадом класе реакције на пожар А2с1д0. обухвата следеће позиције:</t>
  </si>
  <si>
    <t xml:space="preserve">Камена вуна типа као "FKD-S Thermal" Кнауф или одговарајући, мора бити произведена у складу са стандардом СРПС ЕН 13162, густине 110 kg /m³, топлотне проводљивости λ≤0,035 W/мК. </t>
  </si>
  <si>
    <t>Плоче се постављају равно и тесно приљубљене и повезане уздужном изменичном везом. Код постављања плоча, препусти плоча морају бити минимално 25 цм.</t>
  </si>
  <si>
    <t xml:space="preserve">Због допуштених одступања у мерама изолацијског материјала, фуге ширине од 2 до 4 мм (HUPFAS) морају се испунити истим изолацијским материјалом, а фуге мање од наведених одступања, одговарајућом пеном која је прописана од произвођача реакција на пожар класе „А1“.  </t>
  </si>
  <si>
    <t>За смањивање могућности појаве хладних мостова, лепак не сме бити у фугама. Код отвора, плоче се морају тако поставити да се фуга код спојева плоча не наставља на ивицу отвора.</t>
  </si>
  <si>
    <t>Наношење лепка на камену вуну :</t>
  </si>
  <si>
    <t>Лепак за лепљење и армирање камене вуне "BK Stirolfix Specijal" или одговарајући, се наноси ручно или машински, тако да површина која је лепљена буде покривена са најмање 40%. Лепак треба да буде испитан према ETAG-u 004.</t>
  </si>
  <si>
    <t>Овај слој мора бити негорив, карактеристика реакције материјала на пожар класе „А1“ према СРПС ЕН 13501-1.</t>
  </si>
  <si>
    <t xml:space="preserve">Типловање се врши са минимално 6 типлова /м².  Број типлова одредити према висини објекта и оптерећења од ветра на фасаду и доставити прорачун на увид. На ивицама објекта повећати број типлова. </t>
  </si>
  <si>
    <t xml:space="preserve">Дужина типлова по препоруци  произвођача, према дебљини плоча камене вуне, уз доказ носивости.  Предвидети утапајући типл "S" са пластичним телом и челичним ексером. </t>
  </si>
  <si>
    <t>Армирајући слој са стакленом мрежицом:</t>
  </si>
  <si>
    <t>Два до три дана након лепљена камене вуне, наноси се "BK Stirolfix Specijal" или одговарајући системски лепак и маса за армирање, и то зупчастим глетером величине зуба 10 – 12 мм. Армирани слој мора имати дебљину 5 мм.</t>
  </si>
  <si>
    <t>У свежу масу за армирање се поставља стаклена мрежица за армирање, вертикално са преклопима најмање 10 цм. Стаклена мрежица "BK Mrežica 160"  или одговарајућа.</t>
  </si>
  <si>
    <t>Након 24 сата се наноси завршни - изравнавајући масе за  армирање у дебљини од 1 до 2 мм. Арматурна мрежица треба да буде у спољној  трећини армирајућег слоја.</t>
  </si>
  <si>
    <t xml:space="preserve">Потребно је извршити претпремаз за пастозне завршне малтере на основним малтерима и масама за изравњавање БК Грунд Силицат или еквивалентно, у боји фасаде. </t>
  </si>
  <si>
    <t>Минимална дебљина завршног слоја код пуне структуре је 1,5 мм.</t>
  </si>
  <si>
    <t>Силикатни, водоодбојни, паропропусни структурисани завршни малтер "BK S-Plast", или  одговарајући завршни малтер, отпоран на временске утицаје за фасаде на TIS  и основним малтерима, паропропусности μ око 60 према ЕN 1015-19,  водоупојности &lt; 0,1 кг / м² х0,5 према ЕН 1015-18.</t>
  </si>
  <si>
    <t>Подлога мора бити сува, носива и без нечистоћа. Минимално 1 дан пре наношења завршног малтера,  подлогу добро премазати предпремазом.</t>
  </si>
  <si>
    <t xml:space="preserve">Израда фуга и рубова ПВЦ или АЛ лајснама, према препоруци произвођача система: угаоне лајсне са мрежицом, окапне лајсне, шпалетна лајсна за спој малтера и прозора, врата и сличнох елемената, са трајном заштитом од  удара кише -  производи "BK" или одговарајући. </t>
  </si>
  <si>
    <t xml:space="preserve">Све прикључне и закључне лајсне се постављају тако да дугорочно спрече продор кише. </t>
  </si>
  <si>
    <t>Обрачун по м² изведене термоизолације.</t>
  </si>
  <si>
    <t>камена минерална вуна д=12 цм</t>
  </si>
  <si>
    <t>ФЗ 1, ФЗ 1*, ФЗ 2, ФЗ 2*, ФЗ 3, ФЗ 4</t>
  </si>
  <si>
    <t>камена минерална вуна д=8 цм</t>
  </si>
  <si>
    <t>фасадни зид ФЗ 1**</t>
  </si>
  <si>
    <t>камена минерална вуна д=5 цм</t>
  </si>
  <si>
    <t>Термоизолација сокле објекта, до висине од 50 цм од коте тротоара је екструдирани полистирен д=8 cm, са завршном обрадом  декоративним малтером типа "BK Kul" или одговарајући.</t>
  </si>
  <si>
    <t>Подлога мора бити сува, носива и  без нечистоћа. Минимално 1 дан пре наношења завршног малтера, подлогу добро премазати предпремазом.</t>
  </si>
  <si>
    <t>Систем обухвата следеће позиције: наношење лепка на плоче од XPS-а, формирање армирајућег слој са стакленом мрежицом, претпремаз за пастозне завршне малтере на основним малтерима и масама за изравнање "BK Acryl" или одговарајуће,  (најсветлијег зрна мозаичног  малтера) и завршни декоративни малтер.</t>
  </si>
  <si>
    <t>Набавка материјала, транспорт и израда термоизолације унутрашњих  зидова, плочама камене минералне вуне.</t>
  </si>
  <si>
    <t>Преко термоизолације поставити Q мрежу, која се брковима од поцинковане жице фиксира за зид, па преко ње везати рабиц мрежу.</t>
  </si>
  <si>
    <t>Обрачун по м² изведене термоизолације, са Q мрежом и рабиц плетивом.</t>
  </si>
  <si>
    <t>термоизолација зидова према негрејаном простору</t>
  </si>
  <si>
    <t>камена минерална вуна д=4 цм</t>
  </si>
  <si>
    <t>термоизолација зидова између станова</t>
  </si>
  <si>
    <t>зидови УЗТ 1, УЗТ 1*, УЗТ 2, УЗТ 3, УЗТ 3*</t>
  </si>
  <si>
    <t>Набавка материјала, транспорт и израда термоизолације зидова стана према лифту.</t>
  </si>
  <si>
    <t>Изолација је од плоча камене минералне вуне су са коефицијентом топлотне проводљивости λ≤0,037W /mK,  дебљне д=8 цм, према прорачуну грађевинске физике.</t>
  </si>
  <si>
    <t>Изолација је типа "Knauf Insulation", Natur Board FIT-G PLUS или одговарајуће. Поставља се преко бетонског зида, у оквиру потконструкције гипсане облоге..</t>
  </si>
  <si>
    <t>Преко камене минералне вуне, према стану, поставити алуминијумску фолију.</t>
  </si>
  <si>
    <t>Обрачун по м² изведене термоизолације, са алуминијумском фолијом..</t>
  </si>
  <si>
    <t xml:space="preserve">Набавка материјала, транспорт и израда термоизолације у дилатацији. Термоизолација је екструдирани полистирен дебљине д=10 цм. </t>
  </si>
  <si>
    <t xml:space="preserve">Уграђена термоизолација мора имати термичке и механичке особине, прописане елаборатом грађевинске физике, коефицијент топлотне проводљивости  λ≤0,038 W/mK. </t>
  </si>
  <si>
    <t>Термоизолација се лепи и типлује за АБ зид.</t>
  </si>
  <si>
    <t>термоизолација зидова на дилатацији ДЗ 1, ДЗ 1*, ДЗ 2, ДЗ 2*</t>
  </si>
  <si>
    <t>Набавка материјала, транспорт и израда термо изолације еркера.</t>
  </si>
  <si>
    <t xml:space="preserve">Преко термоизолације, према спуштеном плафону, поставити паропропусну водонепропусну фолију. </t>
  </si>
  <si>
    <t>Термоизолација се поставља у оквиру потконструкције спуштеног плафона. Плоче камене вуне лепити за армирано бетонску међуспратну конструкцију, и додатно фиксирати типловима.</t>
  </si>
  <si>
    <t>Уграђена изолација мора имати термичке и механичке особине, прописане елаборатом грађевинске физике.</t>
  </si>
  <si>
    <t>Обрачун по м² изведене изолације.</t>
  </si>
  <si>
    <t>термоизолација еркера Е 1</t>
  </si>
  <si>
    <t>Набавка материјала, транспорт и израда термо и звучне изолације у подним сендвичима.</t>
  </si>
  <si>
    <t>Изолација се поставља преко армирано бетонске плоче а састоји се из следећих слојева:</t>
  </si>
  <si>
    <t>- фолија од полиетиленске пене за пригушење буке типа "Термосајлент" или одговарајуће</t>
  </si>
  <si>
    <t>- екструдирани полистирен, са коефицијентом топлотне проводљивости λ≤0,035 W/mK</t>
  </si>
  <si>
    <t>- ПВЦ фолија</t>
  </si>
  <si>
    <t>По ободу просторија поставити траке фолије од полиетиленске пене, како би под био пливајући.</t>
  </si>
  <si>
    <t>- термосајлент д=1 цм</t>
  </si>
  <si>
    <t>- екструдирани полистирен д=2 цм</t>
  </si>
  <si>
    <t>- екструдирани полистирен д=3 цм</t>
  </si>
  <si>
    <t>Набавка материјала, транспорт и израда термоизолације конструкције испод негрејаног таванског простора.</t>
  </si>
  <si>
    <t>Изолација се поставља преко армирано-бетонске плоче, а састоји се из следећих слојева:</t>
  </si>
  <si>
    <t>- камена минерална вуна дебљине д=14 цм, типа "KnaufInsulation NaturBoard FIT" или одговарајуће</t>
  </si>
  <si>
    <t>- паропропусна водонепропусна фолија д=0,02 цм</t>
  </si>
  <si>
    <t>термоизолација таваница Т 1, Т 2, Т 2*</t>
  </si>
  <si>
    <t>Набавка материјала, транспорт и израда термо изолације у подним сендвичима приземља.</t>
  </si>
  <si>
    <t>- екструдирани полистирен дебљине д=10 цм, са коефицијентом топлотне проводљивости λ≤0,038 W/mK</t>
  </si>
  <si>
    <t>Набавка материјала, транспорт и израда термо изолације у плафонима негрејаних просторија.</t>
  </si>
  <si>
    <t xml:space="preserve">Термоизолација су плоче камене минералне вуна дебљине д=10 цм, произведене у складу са стандардом EN 13162, типа као "Knauf Insulation NaturBoard FIT-G PLUS" или одговарајуће, са коефицијентом топлотне проводљивости λ≤0,037 W/mK.  </t>
  </si>
  <si>
    <t>термоизолација конструкције изнад негрејаног простора КИН 1, КИН 2, КИН 3</t>
  </si>
  <si>
    <t>Набавка материјала, транспорт и израда термоизолационог слоја у поду терасе, ознака ТЕ.</t>
  </si>
  <si>
    <t>укупно Пос 6.15.</t>
  </si>
  <si>
    <t>Плоче се фиксирају преко хоризонталних и вертикалних зодних профила.</t>
  </si>
  <si>
    <t>На профиле се лепе траке за звучну изолацију.</t>
  </si>
  <si>
    <t>Зидови влажних просторија се облажу влагоотпорним плочама.</t>
  </si>
  <si>
    <t>Спољни углови се штите алуминјумском угаоном заштитном шином и траком.</t>
  </si>
  <si>
    <t>Спојеви плоча се испуњавају, бандажирају траком и глетују.</t>
  </si>
  <si>
    <t>Обрачун по м² обухвата испоруку и монтажу плоча и потконструкције, испуњавање спојница смесом за спојнице, завршне лајсне, а у свему према спецификацији произвођача.</t>
  </si>
  <si>
    <t>7.1.1.</t>
  </si>
  <si>
    <t>7.1.2.</t>
  </si>
  <si>
    <t>У санитарним чворовима, плафоне радити од влагоотпорних гипс картонских плоча д=12,5 мм.</t>
  </si>
  <si>
    <t>Висина спуштања плафона према графичкој документацији.</t>
  </si>
  <si>
    <t>Обрачун по м² обухвата испоруку и монтажу плоча и потконструкције, испуњавање спојница смесом за спојнице, бушење отвора за расвету, завршне лајсне, а у свему према спецификацији произвођача, као и радну скелу.</t>
  </si>
  <si>
    <t>7.2.1.</t>
  </si>
  <si>
    <t>МКС 4, Т 2*</t>
  </si>
  <si>
    <t>7.2.2.</t>
  </si>
  <si>
    <t>плафон од гипс картонских плоча, спуштање 16 цм</t>
  </si>
  <si>
    <t>7.2.3.</t>
  </si>
  <si>
    <t>МКС 2, Т 2</t>
  </si>
  <si>
    <t>7.2.4.</t>
  </si>
  <si>
    <t>КИН 2</t>
  </si>
  <si>
    <t>Набавка материјала, транспорт и израда спуштеног плафона еркера.</t>
  </si>
  <si>
    <t>Плафон је водоотпорна плоча од портланд цемента и експандиране глине, обострано ојачана мрежом од стаклених влакана, за спољашњу употребу, дебљине д=12,5 мм (типа као "Knauf Aquapanel outdoor" плоча или одговарајуће).</t>
  </si>
  <si>
    <t>Фиксира се преко металне потконструкције, са штелујућим вешаљкама, а према спецификацији произвођача.</t>
  </si>
  <si>
    <t>8. Извођачке детаље доставити пројектанту на сагласност, усваја их Пројектант, уз сагласност Инвеститора.</t>
  </si>
  <si>
    <t>унутрашња једнокрилна пуна врата</t>
  </si>
  <si>
    <t>Набавка, транспорт и уградња унутрашњих једнокрилних врата.</t>
  </si>
  <si>
    <t>унутрашња једнокрилна клизна врата</t>
  </si>
  <si>
    <t>Набавка, транспорт и уградња унутрашњих једнокрилних клизних врата.</t>
  </si>
  <si>
    <t>Прагове после постављања, хобловати и лакирати паркет лаком.</t>
  </si>
  <si>
    <t>Мере узети на лицу места.</t>
  </si>
  <si>
    <t>Обрачун по комаду уграђених и финално обрађених прагова.</t>
  </si>
  <si>
    <t>укупно Пос 7.1.1.</t>
  </si>
  <si>
    <t>Хидроизолација је синтетичка PVC мембранa, UV нестабилна, типа             "Sikaplan WP 1100 - 15HL" или одговарајућа, д= 1,5 мм.</t>
  </si>
  <si>
    <t xml:space="preserve">Поставља се на подлогу- бетонска плочу, преко "Sika" геотекстила, на бази полипропилена (PP) са преклопом од 10 цм .   </t>
  </si>
  <si>
    <t>Мембране се слободно полажу и варе врелим ваздухом. Хидроизолација се линеарно учвршћује на подлогу са пластифицираним лимовима, "Sika PVC лим".</t>
  </si>
  <si>
    <t>Уз ободне зидове хидроизолацију подићи за 30 цм.</t>
  </si>
  <si>
    <t>фасадни зид - сокла ФЗ С д=8 cm</t>
  </si>
  <si>
    <t>зидарска мера 80/205 цм</t>
  </si>
  <si>
    <t>зидарска мера 90/205 цм</t>
  </si>
  <si>
    <t>ознака 3 у кругу</t>
  </si>
  <si>
    <t>прагови димензија 90/12/3 цм</t>
  </si>
  <si>
    <t>прагови димензиј 80/12/3 цм</t>
  </si>
  <si>
    <t>Застакљивање је термоизолационим стаклом 4+16+4мм са  испуном од аргона и нискоемисионим премазом.</t>
  </si>
  <si>
    <t>прозор и балконска врата,  у свему према шеми</t>
  </si>
  <si>
    <t xml:space="preserve">Укупан коефицијент за пролаз топлоте мора бити Uw≤1.5W/m2K(доказати прорачуном и приложити одговарајуће атесте) </t>
  </si>
  <si>
    <t>Прозор и балконска врата су снабдевена одговарајућим оковом са отварањем око хоризонталне и вертикалне осем, еслингер ролетнама (ПВЦ ламелице), ПВЦ подпрозорском клупицом и окапницом. Прозорска окапница је од алуминијумског екструдиралног пластифицираног лима.</t>
  </si>
  <si>
    <t>двокрилни прозор,  у свему према шеми</t>
  </si>
  <si>
    <t>зидарска мера 180/160цм</t>
  </si>
  <si>
    <t>ПВЦ оквир мора садржати подпрозорски профил како би се могла уградити унутрашња даска.</t>
  </si>
  <si>
    <t>једнокрилни прозор,  у свему према шеми</t>
  </si>
  <si>
    <t>зидарска мера 100/160цм</t>
  </si>
  <si>
    <t>ознака 3*   у дуплом кругу</t>
  </si>
  <si>
    <t>Врата су снабдевена одговарајућим оковом са отварањем око хоризонталне и вертикалне осем,еслингер ролетнама (ПВЦ ламелице), ПВЦ подпрозорском клупицом и окапницом.</t>
  </si>
  <si>
    <t>Код балконских врата пројектовати са унутрашње стране покривну даску од буковог дрвет</t>
  </si>
  <si>
    <t>Укупан коефицијент за пролаз топлоте мора бити Uw≤1.5W/m2K(доказати прорачуном и приложити одговарајуће атесте)</t>
  </si>
  <si>
    <t xml:space="preserve">Уградњу  вршити преко челичних држача и избећи директан контакт челика и алуминијума. 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позиције. </t>
  </si>
  <si>
    <t>Оков је системски, са отварањем у складу са сваком појединачном шемом, са одговарајућим сертификатом. </t>
  </si>
  <si>
    <t xml:space="preserve">Застакљивање се врши термоизолационим транспарентним стакло пакетом. Конфигурација стакло пакета: 6+16+6mm са испуном од аргона. </t>
  </si>
  <si>
    <t>Укупан коефицијент за пролаз топлоте мора бити Uw≤1.5W/m²K (доказати прорачуном и приложити доказе).</t>
  </si>
  <si>
    <t>Пуни делови преграде- панели pоља испред бетонских делова конструкције се израђују уградњом “сендвича“ (алуминијумски лим д=1 mm, камена вуна).</t>
  </si>
  <si>
    <t>Oкапница je од алуминијумског, екструдираног, пластифицираног профила, а  унутрашњa подпрозорна даска од полимермера одговарајуће ширине</t>
  </si>
  <si>
    <t>Радити по детаљу произвођача уз сагласност које усваја Пројектант, уз сагласност Инвеститора.</t>
  </si>
  <si>
    <t>преграда са двокрилним  улазним вратима -  на улазу у ветробран, отварање у складу са шемом</t>
  </si>
  <si>
    <t>преграда са двокрилним  улазним вратима -  у ветробрану, отварање у складу са шемом</t>
  </si>
  <si>
    <t>Уградњу  вршити преко челичних држача и избећи директан контакт челика и алуминијума. 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</t>
  </si>
  <si>
    <t>Застакљивање се врши једноструким сигурносним стаклом 3.3.1 или 4.4.1 у зависности од величине стакла.</t>
  </si>
  <si>
    <t xml:space="preserve">Оков је системски, са отварањем у складу са сваком појединачном шемом, са одговарајућим сертификатом.  </t>
  </si>
  <si>
    <t>Пуни делови преграде-панели поља испред бетонских делова конструкције се израђују уградњом “сендвича“ (алуминијумски лим д=1 mm, камена вуна).</t>
  </si>
  <si>
    <t>Oкапница je од алуминијумског, екструдираног, пластифицираног профила, а  унутрашњa подпрозорна даска од полимермера одговарајуће ширине.</t>
  </si>
  <si>
    <t xml:space="preserve"> Застакљивање се врши термоизолационим транспарентним стакло пакетом. Конфигурација стакло пакета: 4+16+4mm са испуном од аргона и  нискоемисионим премазом.</t>
  </si>
  <si>
    <t>фасадна стаклена преграда на степенишном простору, отварање у складу са шемом</t>
  </si>
  <si>
    <t>Предвиђена висина пењања је  300cm. Пењалице су челичне, дводелне са фиксним горњим  и покретним доњим делом. Горњи, фиксни део се поставља на висини 145cm од коте готовог пода. Доњи део се подиже и спушта клизањем по вођици.</t>
  </si>
  <si>
    <t xml:space="preserve">азишта су постављена на вертикалним растојањима од 30cm.
Детаљи фиксирања и веза елемената према спецификацији произвођача. </t>
  </si>
  <si>
    <t>Завршна обрада врата је пластификација у белој боји RAL 9016.</t>
  </si>
  <si>
    <t>Произвођач је дужан да изради радионичке цртеже и да их достави пројектанту на увид.</t>
  </si>
  <si>
    <t>Обрачун по комаду уграђених,  и финално обрађених позиција.</t>
  </si>
  <si>
    <t>дужине 295цм</t>
  </si>
  <si>
    <t>Врата снабдети потребним оковом  и цилиндерар бравом са кључевима, механизмом за аутоматско затварање врата-челичном опругом.
Заштитити против корозије антикорозивним премазом и бојити два пута емајл лаком у тону РАЛ 7040.</t>
  </si>
  <si>
    <t>Фиксни део капка је израђен од челичних кутијастих профила HOP40/мм,монтираних између кровних носача и опшивен даскама.
Поклопац је израђен од челичних кутијастих профила  HOP40/мм обострано обложен равним челичним пластифицираним лимом,у складу са кровним покривачем.</t>
  </si>
  <si>
    <t>Отварање према шеми.
Заштитити против корозије антикорозивним премазом и обојити два пута емајл лаком у тони са RAL 7040.</t>
  </si>
  <si>
    <t>Ограде на подестима,  су од одговарајућих хладно вучених челичних профила у свему према шемама у графичкој документацији и горе наведеном опису. Висине ограда на подестима је 100 cm</t>
  </si>
  <si>
    <t xml:space="preserve">Анкеровање се врши у конструкцију зидова, греда и плоча преко анкер плочица и анкер типлова који се морају монтирати пре постављања фасада и подова. </t>
  </si>
  <si>
    <t>спољне ограда на терасама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</si>
  <si>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У спровођењу антикорозивне заштите морају се спровести све операције (одмашћивање, чишћење од рђе, премазивање).</t>
  </si>
  <si>
    <t>Ограде на терасама,  су од одговарајућих хладно вучених челичних профила у свему према шемама у графичкој документацији и горе наведеном опису. Висине ограда на терасама је 105 cm .</t>
  </si>
  <si>
    <t>ограда висине 105цм,                                                          ознака О1 у дуплом квадрату</t>
  </si>
  <si>
    <t>Произвођач је дужан да дефинише начин уградње радионичким цртжом. Капак треба да поседују сертификат за ватроотпорност издат од стране овлаштеног тела за цео склоп коме припадају.</t>
  </si>
  <si>
    <t>Испитивање отпорности према пожару треба да је извршено према стандарду SRPS U. Ј1 160 (Технички услови заштите од пожара у грађевинарству- Испитивање отпорности врата и других елемената за затварање отвора у зидовима).</t>
  </si>
  <si>
    <t>зидарска мера 80/80 цм</t>
  </si>
  <si>
    <t>Рукохват је кутијасти профил HOP 70/50/3 флахом везан за вертикални носач 50/50/3 који је на почетку и на крају затворен плочицама 50/50/5  и анкеровано у степенишни крак завртњима.</t>
  </si>
  <si>
    <t>Ограда у степеништу  у свему према шемама у графичкој документацији и горе наведеном опису. Висине ограда на степеништима је 110 cm .</t>
  </si>
  <si>
    <t>Радити по детаљу произвођача уз сагласност Наручиоца и Пројектанта.</t>
  </si>
  <si>
    <t>Обрачун по комаду уграђене и финално обрађене позиције.</t>
  </si>
  <si>
    <t>ПП врата на електроорманима</t>
  </si>
  <si>
    <t xml:space="preserve">трокрилна ПП врата на електроормару </t>
  </si>
  <si>
    <t>10.15.</t>
  </si>
  <si>
    <t>кров K1 и К2</t>
  </si>
  <si>
    <t>опшави развијене ширине 82 цм</t>
  </si>
  <si>
    <t>5.4.</t>
  </si>
  <si>
    <t>опшави развијене ширине 55 цм</t>
  </si>
  <si>
    <t>=65,89+2,85+2*1,25</t>
  </si>
  <si>
    <t>=10,73+19,58+69,19+10,94+2,85+2*1,25</t>
  </si>
  <si>
    <t>=(65,89+2,85+2*1,25)*3</t>
  </si>
  <si>
    <t>сокла од керамике х=10 цм комуникације</t>
  </si>
  <si>
    <t>сокла од керамике х=10 цм               кухиње</t>
  </si>
  <si>
    <t>сокла од керамике х=10 цм                       тераса и лођа</t>
  </si>
  <si>
    <t>укупно Пос 6.8.</t>
  </si>
  <si>
    <t>укупно Пос 6.11.1.</t>
  </si>
  <si>
    <t>укупно Пос 6.11.2.</t>
  </si>
  <si>
    <t>Покривање извести у тракама међусобно спојеним дуплим стојећим превојем у правцу пада крова и дуплим лежећим у хоризонталном правцу.</t>
  </si>
  <si>
    <t>Покривање крова извести са свим фазонским елементима за опшивање, типским елементима за вентилацију крова и опшивањем продора кроз кров и сл, што је саставни део позиције.</t>
  </si>
  <si>
    <t>Пластификација у боји по избору пројектанта.</t>
  </si>
  <si>
    <t>Обрачун по м², мерено по косини крова.</t>
  </si>
  <si>
    <t>Делове олука спајати нитнама.</t>
  </si>
  <si>
    <t>Држаче олука радити од флаха 25/5 мм, од челичног поцинкованог пластифицираног лима, на размаку од 80 цм и нитовати са предње стране.</t>
  </si>
  <si>
    <t>Спојнице заптити одговарајућим премазом.</t>
  </si>
  <si>
    <t xml:space="preserve">Нитне су у боји олука.  </t>
  </si>
  <si>
    <t xml:space="preserve">Набавка материјала, израда, транспорт и монтажа самплеха испод лежећег олука. Израђен је од челичног поцинкованог пластифицираног лима дебљине д=0,6 мм. </t>
  </si>
  <si>
    <t>Обрачун по м¹ изведене опшивке.</t>
  </si>
  <si>
    <t xml:space="preserve">Набавка материјала, израда, транспорт и монтажа самплеха изнад лежећег олука. Израђен је од челичног поцинкованог пластифицираног лима дебљине д=0,6 мм. </t>
  </si>
  <si>
    <t>Са горње стране, самплех се подвлачи под кровни покривач, а са доње се  спаја са олуком у виду дуплог контра фалца.</t>
  </si>
  <si>
    <t>Развијена ширина 50 цм.</t>
  </si>
  <si>
    <t xml:space="preserve">Набавка материјала, израда, транспорт и монтажа одводних олучних вертикала, израђених од челичног поцинкованог пластифицираног  лима дебљине д=0,6 мм. </t>
  </si>
  <si>
    <t>Поједине делове олучних цеви увући један у други минимум 50 мм и спојнице заптити одговарајућим премазом.</t>
  </si>
  <si>
    <t>Вертикале су Ø 125 мм, пластифициране у боји по избору пројектанта.</t>
  </si>
  <si>
    <t>На 200 цм од тла је предвиђена гвоздено ливена цев, што је обрачунато у Предмеру у пројекту хидротехничких инсталација.</t>
  </si>
  <si>
    <t>Набавка материјала, израда, транспорт и уградња казанчића на споју хоризонтала и вертикала кишног развода.</t>
  </si>
  <si>
    <t>Израђени су од челичног поцинкованог пластифицираног лима, димензија према детаљу. Пластификација у тону олука.</t>
  </si>
  <si>
    <t>11.4.</t>
  </si>
  <si>
    <t>11.6.</t>
  </si>
  <si>
    <t>11.7.</t>
  </si>
  <si>
    <t>11.8.</t>
  </si>
  <si>
    <t>Опшав фиксирати за зидове преко пакница. Испод опшивке поставити кровну лепенку, што је саставни део позиције.</t>
  </si>
  <si>
    <t>Опшивку са горње стране подвући под окапницу, а са доње препустити преко кровног покривача.</t>
  </si>
  <si>
    <t>Обрачун по м² изведене опшивке.</t>
  </si>
  <si>
    <t>негобрана, развијене ширине 110 цм..</t>
  </si>
  <si>
    <t>Опшивку фиксирати за зидове и заптити одговарајућом масом.</t>
  </si>
  <si>
    <t>11.9.</t>
  </si>
  <si>
    <t>Набавка материјала, транспорт и израда опшивке дилатације на фасади. Опшав је од челичног поцинкованог пластифицираног лима дебљине           д= 0,6 мм, развијене ширине 50 цм.</t>
  </si>
  <si>
    <t>=7,9*2</t>
  </si>
  <si>
    <t>11.10.</t>
  </si>
  <si>
    <t>Опшивка је са обострано препуштеним окапницама.</t>
  </si>
  <si>
    <t>Опшивку фиксирати за кров и заптити одговарајућом масом.</t>
  </si>
  <si>
    <t>=19,4*2</t>
  </si>
  <si>
    <t>11.11.</t>
  </si>
  <si>
    <t>Опшав фиксирати за армирано бетонски зид. Испод опшивке поставити кровну лепенку, што је саставни део позиције.</t>
  </si>
  <si>
    <t>11.12.</t>
  </si>
  <si>
    <t>11.13.</t>
  </si>
  <si>
    <t>укупно Пос 12.2.</t>
  </si>
  <si>
    <t>укупно Пос 12.1.1.</t>
  </si>
  <si>
    <t>укупно Пос 12.1.2.</t>
  </si>
  <si>
    <t>12.1.3.</t>
  </si>
  <si>
    <t>укупно Пос 12.1.3.</t>
  </si>
  <si>
    <t>укупно Пос 13.2.</t>
  </si>
  <si>
    <t>ПОДОПОЛАГАЧКИ РАДОВИ</t>
  </si>
  <si>
    <t>ПОДОПОЛАГАЧКИ РАДОВИ - укупно</t>
  </si>
  <si>
    <t>укупно Пос 15.1.2.</t>
  </si>
  <si>
    <t>укупно Пос 15.1.3.</t>
  </si>
  <si>
    <t>зидови тераса</t>
  </si>
  <si>
    <t>=7+8*4</t>
  </si>
  <si>
    <t>Опшав је од челичног поцинкованог пластифицираног лима дебљине д=0,6мм, са обострано препуштеном окапницом, укупне развијене ширине 50 цм.</t>
  </si>
  <si>
    <t>Набавка материјала, транспорт и израда тротоара дебљине д=12 цм,  са ивичном гредом димензија 10/25 цм. око објекта.</t>
  </si>
  <si>
    <t>=2,2*41,2*2</t>
  </si>
  <si>
    <t xml:space="preserve">Набавка материјала, транспорт и облагање подова подном, првокласном  керамиком домаће производње. </t>
  </si>
  <si>
    <t xml:space="preserve">Керамика се полаже преко готове подлоге, у грађевинском лепку, у слогу фуга на фугу. </t>
  </si>
  <si>
    <t>Фуге су максималне ширине 3 мм, испуњавају се масом за фуговање.</t>
  </si>
  <si>
    <t xml:space="preserve">Сва уграђена подна керамика мора да буде противклизна - Р 11. </t>
  </si>
  <si>
    <t>Димензије керамике према избору пројектанта.</t>
  </si>
  <si>
    <t>Обрачун по м² обложених подова.</t>
  </si>
  <si>
    <t>Набавка материјала, транспорт и постављање подне сокле, висине 10 цм, код подова од керамике.</t>
  </si>
  <si>
    <t>Сокла је израђена од керамике истог квалитета као подна и поставља се у грађевинском лепку, преко омалтерисане површине, а фуге прате фуге на поду и испуњавају се масом за фуговање.</t>
  </si>
  <si>
    <t>Набавка материјала, транспорт и облагање зидова, првокласном, зидном керамиком домаће производње.</t>
  </si>
  <si>
    <t>Слог керамике, димензије и дезен је по избору пројектанта.</t>
  </si>
  <si>
    <t xml:space="preserve">Керамика се поставља на омалтерисане зидове, у грађевинском лепку,  у слогу фуга на фугу, фуга ширине 3 мм. </t>
  </si>
  <si>
    <t>Фуге извести са дистанцерима. По завршеном раду, спојнице фуговати масом за фуговање.</t>
  </si>
  <si>
    <t>На свим истуреним угловима урадити типске алуминијумске заштитнике, што је саставни део позиције.</t>
  </si>
  <si>
    <t>купатила - висина керамике х=240 цм</t>
  </si>
  <si>
    <t>кухиње - висина керамике х=70 цм (облаже се део зида између доњих и горњих кухињских елемената)</t>
  </si>
  <si>
    <t>укупно Пос 13.3.</t>
  </si>
  <si>
    <t>Лајсне су алуминијумске, облика према избору пројектанта, типлују се у подну конструкцију.</t>
  </si>
  <si>
    <t>Обрачун по м¹ уграђених лајсни.</t>
  </si>
  <si>
    <t>укупно Пос 14.1.1.</t>
  </si>
  <si>
    <t>Набавка материјала, транспорт и бојење зидова и плафона преко омалтерисане површине, полудисперзивном бојом.</t>
  </si>
  <si>
    <t>Пре бојења, зидове и плафоне глетовати до потпуно равне површине, минимум два пута, масом за глетовање.</t>
  </si>
  <si>
    <t>Зидове бојити до потпуно уједначене боје, у тону по избору пројектанта.</t>
  </si>
  <si>
    <t>глетовање и бојење зидова</t>
  </si>
  <si>
    <t>глетовање и бојење плафона</t>
  </si>
  <si>
    <t>глетовање и бојење подгледа степеништа</t>
  </si>
  <si>
    <t>Набавка, транспорт, монтажа и демонтажа фасадне цевасте скеле око објекта.</t>
  </si>
  <si>
    <t>Скелу урадити од прописаних  (статички прорачунатих) елемената, добро их учврстити и уземљити, у свему по важећим прописима и мерама ХТЗ-а.</t>
  </si>
  <si>
    <t>Целу површину скеле покрити ПВЦ засторима.</t>
  </si>
  <si>
    <t>Скелу прима и преко дневника даје дозволу за употребу статичар.</t>
  </si>
  <si>
    <t>По завршетку радова скелу демонтирати.</t>
  </si>
  <si>
    <t xml:space="preserve">Набавка материјала, транспорт и малтерисање бетонске површине плафона тераса (опис ТЕ), термомалтером д=2 цм. </t>
  </si>
  <si>
    <t xml:space="preserve">Набавка материјала, транспорт и малтерисање делова фасаде у два слоја продужним малтером размере 1:2:6. </t>
  </si>
  <si>
    <t xml:space="preserve">Први слој нанет грубо, други слој фино заглађен. Делове од бетона претходно испрскати цементним млеком. </t>
  </si>
  <si>
    <t>малтерисање плоче стрехе са завршном гредом</t>
  </si>
  <si>
    <t>Набавка материјала, транспорт и израда завршног слоја системске фасаде у  тону по избору пројектанта.</t>
  </si>
  <si>
    <t>инсталационих канала изнад крова</t>
  </si>
  <si>
    <t>малтерисање инсталационих канала у  крову и изнад крова</t>
  </si>
  <si>
    <t>Изводи преко термоизолације од екструдираног полистирена.</t>
  </si>
  <si>
    <t xml:space="preserve">Малтер је акрилни, водоодбојни, паропропусни, отпоран на временске утицаје, изводи се у минималној дебљини од д=1,5 мм.  </t>
  </si>
  <si>
    <t xml:space="preserve">Набавка материјала, транспорт и израда подлоге за олук ОСБ плочама дебљине д=22 мм. </t>
  </si>
  <si>
    <t>На аб плочу фиксирати подлогу за олук, израђену од ОСБ плоча, димензија 25/33 цм, поставити је са падом од 0,5 % према олучним хоризонталама.</t>
  </si>
  <si>
    <t xml:space="preserve">Преко ОСБ плоча поставити један слој битуменске лепенке, са преклопима од 10 цм. </t>
  </si>
  <si>
    <t>Обрачун по м² изведене подлоге за олук.</t>
  </si>
  <si>
    <t>Набавка, транспорт и монтажа типских металних сандучића за пошту. Израђени су од челичног лима и лакирани трајно печеним лаком у боји по избору пројектанта.</t>
  </si>
  <si>
    <t xml:space="preserve">Набавка, транспорт и постављање ознаке спрата. Ознаке су димензија 15/5 цм, израђене од плексигласа. </t>
  </si>
  <si>
    <t>Набавка, транспорт и постављање плочица са бројем стана, на улазна врата. Плочице су димензија 5/5 цм, израђене од  плексигласа.</t>
  </si>
  <si>
    <t>Димензије огласне табле су 100/60 цм.</t>
  </si>
  <si>
    <t>Леђа огласне табле су од алуминијумског лима. Врата табле су у алуминијумском раму, застакљена равним провидним стаклом дебљине 4 мм.</t>
  </si>
  <si>
    <t>Врата опремити бравицом са кључевима.</t>
  </si>
  <si>
    <t>Обрачун по м² изведеног пода.</t>
  </si>
  <si>
    <t>Спојнице плоча испунити песком.</t>
  </si>
  <si>
    <t>прагови</t>
  </si>
  <si>
    <t>Набавка, транспорт и уградња лајсни на саставу две врсте пода.</t>
  </si>
  <si>
    <t>evra/m²</t>
  </si>
  <si>
    <t xml:space="preserve">7. Сви радови изводе се према појединачним описима шема, детаљима и овереним радионичким цртежима. </t>
  </si>
  <si>
    <t>11.5.</t>
  </si>
  <si>
    <t>Изолација се поставља испод армирано бетонске плоче на оплати. састоји се из следећих слојева:</t>
  </si>
  <si>
    <t xml:space="preserve">Термоизолација је екструдирани полистирен XPS дебљине 1цм, поставља се преко армирано бетонске плоче терасе. </t>
  </si>
  <si>
    <t>Набавка, транспорт и уградња стандардног, ревизионог плафонског отвора типа Knauf  или одговарајуће, димензија 60/60 цм са прекривеним затварачким системом, елоксирано, са уграђеном облогом од ојачане гипс картонске плоче дебљине д=12,5 мм.</t>
  </si>
  <si>
    <t>Плоче су димензија 40/40/4 цм, полажу се у цементном малтеру размере 1:3, дебљине д=4 цм (преко изведене аб плоче).</t>
  </si>
  <si>
    <t>тротоар</t>
  </si>
  <si>
    <t>=1,4*12,25</t>
  </si>
  <si>
    <t>сокла од керамике х=10 цм на степеништу</t>
  </si>
  <si>
    <t>12.2.3.</t>
  </si>
  <si>
    <t>14.1.1.</t>
  </si>
  <si>
    <t>14.1.2.</t>
  </si>
  <si>
    <t>14.1.3.</t>
  </si>
  <si>
    <t>укупно Пос 15.3.</t>
  </si>
  <si>
    <t>керамичке плочицед=1,0 цм,  на лепку кухиње, купатила, тоалети и техничке просторије</t>
  </si>
  <si>
    <t>зидарска мера 138/240цм</t>
  </si>
  <si>
    <t>Набавка, транспорт и уградња унутрашњих улазних једнокрилних врата.</t>
  </si>
  <si>
    <t>Крило врата: рам је МДФ-а дебљине 37мм, а испуна картонско саће. Крило врата  од egger МДФ дебљине 8мм. Крило је са свих страна кантовано ABS  траком.  Кантовање је полиуретанским лепком.</t>
  </si>
  <si>
    <t>Шток од МДФ-a 35мм обложен ЦПЛ ламинатом "egger" или одговарајући.
Первајзи су од МДФ 14мм, обложени ЦПЛ ламинатом "egger" или одговарајући</t>
  </si>
  <si>
    <t>Измећу крила и штока поставља се дихтунг профил од неопренске гуме.
Врата су са сигурносном бравом у 3 тачке MCM и бродском шарком од inox-a носивости до 80kg и шпијунком на висини 180цм.</t>
  </si>
  <si>
    <t xml:space="preserve">Позиција обухвата сав потребан материјал за уградњу, комплетан оков и све пратеће елементе потребне да би била потпуно исправна и употрeбљива. </t>
  </si>
  <si>
    <t>Произвођач је дужан да дефинише начин уградње радионичким цртежима на које је обавезан да добије сагласност наручиоца и пројектанта.</t>
  </si>
  <si>
    <t>једнокрилна улазна врата, отварање у складу са шемом</t>
  </si>
  <si>
    <t>унутрашња улазна врата</t>
  </si>
  <si>
    <t xml:space="preserve">Измећу крила и штока поставља се дихтунг профил од неопренске гуме.
Врата опремити адекватним оковом домаће производње: бравом и бродском шарком од inox-a носивости до 80kg. </t>
  </si>
  <si>
    <t>Крило врата је у доњој зони перфорирано кружним отворима пречника 3цм на висини 15цм од пода.</t>
  </si>
  <si>
    <t>Шток од МДФ-a 35мм обложен ЦПЛ ламинатом "egger" или одговарајући</t>
  </si>
  <si>
    <t>Первајзи су од МДФ 14мм, обложени ЦПЛ ламинатом "egger" или одговарајући</t>
  </si>
  <si>
    <t>Измећу крила и штока поставља се дихтунг профил од неопренске гуме.</t>
  </si>
  <si>
    <t>Врата опремити адекватним  механизмом за клизање у горњој зони, ручицама за повлачење, граничницима и одбојником за заустављање. Целокупан пробор је 
домаће производње. Предводети маску.</t>
  </si>
  <si>
    <t>прагови димензија 100/12/3 цм</t>
  </si>
  <si>
    <t>ознака Р у дуплом квадрату</t>
  </si>
  <si>
    <t>6.17.</t>
  </si>
  <si>
    <t>Изолација се поставља преко армирано бетонске плоче.</t>
  </si>
  <si>
    <t>Екструдирани полистирен д=3цм, са коефицијентом топлотне проводљивости λ≤0,035 W/mK</t>
  </si>
  <si>
    <t>коса плоча рампе д=15цм</t>
  </si>
  <si>
    <t>2.19.</t>
  </si>
  <si>
    <t>2.20.</t>
  </si>
  <si>
    <t>2.21.</t>
  </si>
  <si>
    <t>2.24.</t>
  </si>
  <si>
    <t>2.23.</t>
  </si>
  <si>
    <t>- венчаница 14/20 цм</t>
  </si>
  <si>
    <t>Набавка материјала, транспорт и израда хидроизолације подне плоче (под П ТП) - хидроизолација ТИП 1.</t>
  </si>
  <si>
    <t xml:space="preserve">Термоизолација су плоче камене минералне вуна дебљине д=22 цм, произведене у складу са стандардом EN 13162, типа као "Knauf Insulation NaturBoard Ventacusto" или одговарајуће, са коефицијентом топлотне проводљивости λ≤0,035 W/mK.  </t>
  </si>
  <si>
    <t>подови са ознакама МКС 1, МКС 2, МКС 3 (КИН 1, КИН 2, КИН 3, Е1)</t>
  </si>
  <si>
    <t>1. ПВЦ столарија се изводи од усвојених типских петокоморних профила, са унутрашњим ојачањем од челика, са термичком испуном и прекидом хладног моста, у свему према шеми, детаљима и радионичким цртежима.</t>
  </si>
  <si>
    <t>1. Алуминарија се изводи од усвојених типских алуминијумских профила,  са и  без термичке испуне и прекида хладног моста, у свему према шеми, детаљима и радионичким цртежима које усваја Пројектант, уз сагласност Инвеститора.</t>
  </si>
  <si>
    <t>- пајанта 10/12 цм</t>
  </si>
  <si>
    <t>- рожњачa 14/20 цм</t>
  </si>
  <si>
    <t>- јастук 50/20/14 цм.</t>
  </si>
  <si>
    <t>3.За веће серије, извођач је дужан да уради прототип или узорке делова елемената.</t>
  </si>
  <si>
    <t>Крило врата: рам је МДФ-а дебљине 37мм,  испуна картонско саће, облога  од МДФ дебљине 8мм "egger" или одговарајућа , кантовано ABS  траком.  Кантовање је полиуретанским лепком.</t>
  </si>
  <si>
    <t>ознака 1у у кругу</t>
  </si>
  <si>
    <t>Набавка транспорт и монтажа огласне табле.</t>
  </si>
  <si>
    <t>4. ПВЦ профили не смеју бити рециклирани и не смеју садржати олово.</t>
  </si>
  <si>
    <t>5. Прозори су делом ослоњени на чврст део фасадног зида (бетонски или зидани зид) и уграђују се на фасаду помоћу челичних L профила,  димензија 60х60х4мм, који се постављају на размаку од 40 цм, по обиму позиције и универзалних металних типлова Ø 10 мм,  намењених за уградњу ПВЦ    столарије у пуној и шупљој грађевинској подлози.</t>
  </si>
  <si>
    <t xml:space="preserve">Понуђач је обавезан да уз понуду достави и атесте/сертификате као доказ да техничке карактеристике понуђеног производа одговарају техничком захтеву.    </t>
  </si>
  <si>
    <t>Обрачун по м² постављеног пода са урачунатим растуром материјала.</t>
  </si>
  <si>
    <t>Набавка, испорука и постављање високо квалитетног вишеслојног готовог паркета I класе дебљине 12,6 мм, Tarkett Klassika hrast  са следећим техничким карактеристикама:</t>
  </si>
  <si>
    <t xml:space="preserve">-укупна дебљина:  12,6 мм                                                        -дебљина горњег слоја:  2,8 мм                                                                    -лак: Classic 5 слојева UV осушен                                                                         -систем закјучавања: T-Lock                                                                                                                                                                                                                           -отпорност на пожар: Dfl-s1 po                       EN 13501-1                                                                                                              -емисија формалдехида: E1 po                  EN 13986                                                       -термичка проводљивост: ≤ 0,110 m²K/W po EN 12664                                                     -отпорност на лом: 3,5 kN po EN 1533      </t>
  </si>
  <si>
    <t>укупно Пос 13.1.</t>
  </si>
  <si>
    <t xml:space="preserve">Сучељавања обавезно геровати. Сав потребан материјал (набавка и транспорт) обезбеђује извођач радова. </t>
  </si>
  <si>
    <t>Обрачун радова по м¹.</t>
  </si>
  <si>
    <t>Уградњу вршити лепљенем комплетне површине обавезно полиуретанским двокомпоментним лепилом типа: Мапеи, Узин, Хенкел, Сика.</t>
  </si>
  <si>
    <t>Остављати експанзионе размаре између препрека(зидова, стубова, керамике...) 1,50мм на 1м ширине пода а не мање од 8 мм. Зид опшити дрвеном фурнираном лајсном димензија 16 x 16 x 2400мм у дезену дрвета - паркета. У цену урачунати и потребан растур максимално 3-5%. Обратити пажњу да се паркет у ходницима увек уграђује по дужини(пружати даске).</t>
  </si>
  <si>
    <t xml:space="preserve">Набавка и постављање профилисане сокле у квалитету и дезену паркета, димензија 60 x 16 мм, на саставу пода и зидова. Лајсне се причвршћују на зид монтажним китовима/одговарајућим лепком. </t>
  </si>
  <si>
    <t>унутрашње степениште,                                       степеници  16,38/30 цм</t>
  </si>
  <si>
    <t xml:space="preserve">Паркет уграђивати на равну, чисту, суву, чврсту подлогу (кошуљицу). Дозвољена влажност кошуљице маx 2%, за подно грејање 1,8% мерено ЦМ методом. Влага ваздуха 30% - 50%, температура више од 18°. Равноћа подлоге: на дужини од 2м разлика у нивоу не сме бити већа од +/- 3мм. </t>
  </si>
  <si>
    <t>Овако утврђену контурну линију објекта обележити на терену привременим обележивачима које треба уклонити тек када су зидови озидани до висине изнад земље.</t>
  </si>
  <si>
    <t>8. Извођачке детаље доставити пројектанту на сагласност које              усваја Пројектант, уз сагласност Инвеститора.</t>
  </si>
  <si>
    <t>9.Обавеза извођача  је да уради прототип одабранаог прозора.</t>
  </si>
  <si>
    <t>Набавка материјала, транспорт и покривање кровова равним, поцинкованим, пластифицираним челичним лимом дебљине д=0,6 мм, преко подлоге од ОСБ плоча (посебно обрачунато).</t>
  </si>
  <si>
    <t>Набавка материјала, израда, транспорт и монтажа лежећих олука израђених од челичног поцинкованог пластифицираног лима д=0,6 мм (изводе се преко подлоге од ОСБ плоча).</t>
  </si>
  <si>
    <t>Набавка материјала, транспорт и облагање рампе и тротоара вибро пресовани плочама, типа бехатон или одгoварајуће.</t>
  </si>
  <si>
    <t>Набавка транспорт  и уградња фасадне ПВЦ столарије, прозор  је  израђен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</si>
  <si>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Набавка транспорт  и уградња фасадне ПВЦ столарије, преграда са балконским  вратима израђена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</si>
  <si>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Набавка транспорт  и уградња фасадне браварије, фасадна преграда са двокрилним  улазним вратима -  на улазу у ветробран. Алуминијумска спољна браварија је израђени су од алуминијумских профила са термопрекидом. Пластификација је у белој боји RAL 9016.</t>
  </si>
  <si>
    <t>Набавка транспорт  и уградња фасадне браварије, фасадна преграда са двокрилним  улазним вратима -  у ветробрану. Алуминијумска спољна браварија је израђени су од алуминијумских профила без термопрекида. Пластификација је у белој боји RAL 9016.</t>
  </si>
  <si>
    <t>Набавка транспорт  и уградња фасадне браварије, фасадна стаклена преграда на степенишном простору.         Алуминијумска спољна браварија је израђени су од алуминијумских профила са термопрекидом. Пластификација је у белој боји.</t>
  </si>
  <si>
    <t>Набавка транспорт  и уградња Tелескопске пењалице за излаз у тавански простор</t>
  </si>
  <si>
    <t>Набавка транспорт  и уградња металног капака за излаз на кров.</t>
  </si>
  <si>
    <t>Набавка транспорт  и уградња заштитне металне ограде- на терасама. Ограде су изграђене од хладно вучених челичних профила - црна браварија</t>
  </si>
  <si>
    <t>Набавка транспорт  и уградња заштитне металне ограде- на степеништу. Ограде су изграђене од хладно вучених челичних профила - црна браварија</t>
  </si>
  <si>
    <t>Набавка транспорт  и уградња, унутрашња  ПП врата на електроорманима.</t>
  </si>
  <si>
    <t>Набавка транспорт  материјала, израда и уградња подизна метална решетка -  улаз у објекат.</t>
  </si>
  <si>
    <t>=0,16*16,16*(1,75*2+2,92*2)+0,16*(2,2+3,61)/2*3,2+0,16*11,8*4,57-0,16*1,18*2,4*4</t>
  </si>
  <si>
    <t>=0,25*2,95*(0,5*2+0,9*4+1,1)*5</t>
  </si>
  <si>
    <t>=2,92*2,1</t>
  </si>
  <si>
    <t>=0,25*0,45*(3,88+4,92+3,5+4,36+6,27*2+3,21+6,35+5,77+5,75)+0,2*0,45*(5,77+5,17+3,83+6,27+1,6+2,9*2+1,6*2)*5+0,2*0,3*3,0*5+0,25*0,45*(3,88+4,92+3,5+4,36+5,87+6,27*2+3,21+6,35+5,77+5,75)*4</t>
  </si>
  <si>
    <t>=0,2*0,45*(6,27+6,37+2,6+2,7*2+2,4+5,59+2,7+2,9+4,53+4,86+2,4)*5+0,2*0,45*3,0+0,2*0,5*(6,27+6,37+2,6+2,7*2+2,4+5,59+2,7+2,9+4,53+4,86+2,4+3,0)</t>
  </si>
  <si>
    <t>=0,12*0,45*(1,56*10*5+2,94*3*5+2,7*2*5+3,45+1,56*2)</t>
  </si>
  <si>
    <t>=0,15*1,0*(10,85+0,9)</t>
  </si>
  <si>
    <t>=0,2*0,25*(1,4+1,2*3+1,4*4+1,2*4*4)</t>
  </si>
  <si>
    <t>=0,2*2,5*(4,85+2,4+2,26+2,4+6,38+4,47+2,9+1,5+5,37+2,7+1,6+2,9)-0,2*(2,1*1,6*2+0,9*2,4*6+1,0*1,6*4+1,8*1,6*7+2,7*1,6+1,0*0,6+1,5*1,6)</t>
  </si>
  <si>
    <t>=0,2*2,5*(4,85+2,7+2,26+2,4+6,38+4,47+2,9+1,5+2,7+5,37+2,7+1,6+2,9)-0,2*(2,1*1,6*2+0,9*2,4*7+1,0*1,6*4+1,8*1,6*8+1,0*0,6+1,5*1,6)</t>
  </si>
  <si>
    <t>=0,2*2,5*1,6</t>
  </si>
  <si>
    <t>=0,2*2,5*1,6*3</t>
  </si>
  <si>
    <t>=0,2*2,5*1,43</t>
  </si>
  <si>
    <t>=0,2*2,5*1,3*2</t>
  </si>
  <si>
    <t>=0,2*2,5*1,3*2*3</t>
  </si>
  <si>
    <t>=0,25*2,5*(3,8+2,05+2,61+4,0+1,62+2,45+2,47+3,83+1,33+1,23+3,2+4,68+3,02+3,5+3,27+2,78+1,94+3,53)-0,25*1,0*2,1*5</t>
  </si>
  <si>
    <t>=0,25*2,5*(3,8+2,06+2,61+2,45+2,47+3,83+2,95+1,23+3,2+2,83+3,3+1,94+3,44+1,62)-0,25*(1,0*2,1*3+2,31*2,4)</t>
  </si>
  <si>
    <t>=0,25*2,95*(5,1+3,45+17,04)+0,25*11,8*(5,1+3,02+3,45+4,64)-0,25*(1,0*2,1*6+0,9*2,1+1,92*2,67)</t>
  </si>
  <si>
    <t>=0,25*2,5*(3,8+2,05+2,61+4,0+1,62+2,45+2,47+3,83+1,33+1,23+3,2+4,68+3,02+3,5+3,27+2,78+1,94+3,53)*3-0,25*1,0*2,1*5*3</t>
  </si>
  <si>
    <t>=0,2*2,5*1,3*2+0,2*2,77*(1,47+2,01)</t>
  </si>
  <si>
    <t>=2,5*(1,15+2,09)+2,77*(6,8+2,48*2+3,17+2,07+1,0+1,78*2+0,54+1,81+2,83+2,09+2,32+2,6+1,82+0,8+1,82+2,65+3,65+2,15+6,74+2,5*2+3,17+2,07+1,0+1,82+0,83*2+2,21+7,54+2,94+2,09*2+1,1+4,46)+1,2*(2,88+1,81+2,75+2,06+1,05)-(0,8*2,05*15+0,85*2,05*2+0,9*2,05*2+0,95*2,05*5+1,0*2,05*2)</t>
  </si>
  <si>
    <t>=2,5*(1,15+2,09)+2,77*(6,8+2,48*2+3,17+2,07+1,0+1,78*2+0,54+1,81+2,83+2,09+2,32+2,6+1,82+0,8+1,82+2,65+3,65+2,15+6,74+2,5*2+3,17+2,07+1,0+1,82+0,83+3,0+2,27+0,7+1,82+5,32+0,7+1,7+3,72+3,15+0,4)+1,2*(2,88+1,81+2,75+2,06+1,05*2)-(0,8*2,05*15+0,85*2,05*2+0,9*2,05+0,95*2,05*6)</t>
  </si>
  <si>
    <t>=2,5*(1,15+2,09)+2,77*(6,8+2,48*2+3,17+2,07+1,0+1,78*2+0,54+1,81+2,83+2,09+2,32+2,6+1,82+0,8+1,82+2,65+3,65+2,15+6,74+2,5*2+3,17+2,07+1,0+1,82+0,83+3,0+2,27+0,7+1,82+5,32+0,7+1,7+3,72+3,15+0,4)*3+1,2*(2,88+1,81+2,75+2,06+1,05*2)*3-(0,8*2,05*15+0,85*2,05*2+0,9*2,05+0,95*2,05*6)*3</t>
  </si>
  <si>
    <t>=0,6*(1,9+1,61+1,8+1,98+1,6)</t>
  </si>
  <si>
    <t>=0,6*(1,9+1,61+1,8+1,62+1,6*2)</t>
  </si>
  <si>
    <t>=0,6*(1,9+1,61+1,8+1,62+1,6*2)*3</t>
  </si>
  <si>
    <t>=2,77*15+2,77*16*4+2,58*16</t>
  </si>
  <si>
    <t>зидови УЗТ 1*, УЗТ 1**, УЗТ 3*, СЗ 2**, ДЗ 3*</t>
  </si>
  <si>
    <t>=2,77*(1,9+1,52+2,44+2,28*2)</t>
  </si>
  <si>
    <t>=2,77*(1,9+1,52+2,44+2,28+1,72+1,48)</t>
  </si>
  <si>
    <t>=2,77*(1,9+1,52+2,44+2,28+1,72+1,48)*3</t>
  </si>
  <si>
    <t>=2,77*(0,67*3+1,0*2+0,6*5+0,68+0,8+0,29*10)</t>
  </si>
  <si>
    <t>=2,77*(0,67*2+1,0*2+0,6*4+0,68+1,0+0,29*9)</t>
  </si>
  <si>
    <t>=2,77*(0,67*3+1,0*2+0,6*5+0,68+0,8+0,29*10)*3</t>
  </si>
  <si>
    <t>=2,56*(1,6+0,42)-2,4*0,7</t>
  </si>
  <si>
    <t>=2,56*(1,6+0,42)*3-2,4*0,7*3</t>
  </si>
  <si>
    <t>=2,58*(0,84*4+0,53*4+0,87*4+0,53*4+0,7*2+1,54*2+0,84*2+1,07*2+0,82*2+1,68*2+0,53*2+0,97*2+0,67*4+0,53*2+0,77*2+0,84*2+1,31*2)</t>
  </si>
  <si>
    <t>димензије капе 59/84, 56/93, 76/160, 90/113, 88/174, 59/103, 72/74, 59/83, 59/83, 59/91, 59/92, 56/87цм</t>
  </si>
  <si>
    <t>подлога у поду КИГ 1</t>
  </si>
  <si>
    <t>=37,34*3</t>
  </si>
  <si>
    <t>=3,78*4+4,45</t>
  </si>
  <si>
    <t>=4,68+3,78*4+4,45+3,37</t>
  </si>
  <si>
    <t>=4,68*3+3,78*4*3+4,45*3+3,37*3</t>
  </si>
  <si>
    <t>подлога за керамику у подовима КИН 1,  КИН 3,  МКС 3, Е1,</t>
  </si>
  <si>
    <t>=5,58+4,2+4,14+4,18+4,26+5,39+4,4+4,53+12,45</t>
  </si>
  <si>
    <t>=(5,58+4,2+4,14+4,18+4,26+5,39+4,4)*3</t>
  </si>
  <si>
    <t>подлога за паркет у подовима КИН 4, КИН 6, КИН 7, МКС 1</t>
  </si>
  <si>
    <t>=4,98+24,39+11,61+11,32+1,24+6,46+24,15+9,17+12,78+12,79+12,2+3,22+1,37+20,41+7,54+0,96+21,24+5,87+23,48+11,56+11,04+1,24+3,17+23,11</t>
  </si>
  <si>
    <t>=4,98+24,39+11,61+11,32+1,27+20,46+5,13+20,56+10,97+1,37+20,41+7,54+0,96+21,24+5,87+23,48+11,56+11,4+1,24+3,17+23,11</t>
  </si>
  <si>
    <t>=(4,98+24,39+11,61+11,32+1,27+4,53+20,46+12,45++5,13+20,56+10,97+1,37+20,41+7,54+0,96+21,24+5,87+23,48+11,56+11,4+1,24+3,17+23,11)*3</t>
  </si>
  <si>
    <t>=4,27+1,89+4,61+1,73+4,3+3,96+4,33+1,59+4,69</t>
  </si>
  <si>
    <t>=4,27+1,89+3,97+4,3+3,96+4,33+1,59</t>
  </si>
  <si>
    <t>=(4,27+1,59+3,92+3,97+4,3+3,96+4,33+1,59+4,67)*3</t>
  </si>
  <si>
    <t xml:space="preserve">Набавка материјала, транспорт и бетонирање темељних зидова дебљине дз=15 цм, армираним бетоном МБ 30 (С25/30), са остављањем потребних анкера. </t>
  </si>
  <si>
    <t>=0,15*14,75*0,75*2</t>
  </si>
  <si>
    <t>Набавка материјала, транспорт и бетонирање зидова дебљине дз=15цм, армираним бетоном МБ 30 (С25/30), са остављањем потребних анкера и отвора.</t>
  </si>
  <si>
    <t>=4,98+24,39+5,58+11,61+11,32+1,24+6,46+24,15+5,55+9,17+12,79+12,2+3,22+1,37+20,41+4,18+7,54+0,96+21,24+4,26+5,87+23,48+5,39+11,56+11,4+1,24++3,17+23,11+4,4+30,3+11,97+2,69</t>
  </si>
  <si>
    <t>=4,98+24,39+5,58+11,61+11,32+1,24+4,53+20,46+4,2+12,45+5,13+20,56+4,14+10,97+1,37+20,41+4,18+7,54+0,96+21,24+4,26+5,87+23,48+5,39+11,56+11,4+1,24+3,17+23,11+4,4+37,34</t>
  </si>
  <si>
    <t>=(4,98+24,39+5,58+11,61+11,32+1,24+4,53+20,46+4,2+12,45+5,13+20,56+4,14+10,97+1,37+20,41+4,18+7,54+0,96+21,24+4,26+5,87+23,48+5,39+11,56+11,4+1,24+3,17+23,11+4,4+37,34)*3</t>
  </si>
  <si>
    <t>=2,77*(9,49+24,6+10,33+14,28+13,48+4,55+11,99+20,83+9,81+12,11+14,6+14,7+8,43+5,11+20,91+8,37+11,31+4,04+21,23+8,72+10,05+23,9+10,0+14,28+13,53+4,45+7,29+9,27+8,8+7,7)-(2,1*1,6*2+(0,9*2,4+1,8*1,6)*3+2,7*1,6-3,0*6)</t>
  </si>
  <si>
    <t>=2,77*(9,49+24,6+10,33+14,28+13,48+4,55+9,1+18,46+8,6+14,92+11,01+19,93+8,52+13,52+5,11+20,04+8,54+11,31+4,04+21,23+8,82+10,05+23,9+10,0+14,28+13,53+10,05+7,29+19,27+8,8)-(2,1*1,6*2+(0,9*2,4+1,8*1,6)*5-3,0*7)</t>
  </si>
  <si>
    <t>=2,77*(9,49+24,6+10,33+14,28+13,48+4,55+9,1+18,46+8,6+14,92+11,01+19,93+8,52+13,52+5,11+20,04+8,54+11,31+4,04+21,23+8,82+10,05+23,9+10,0+14,28+13,53+10,05+7,29+19,27+8,8)*3-(2,1*1,6*2+(0,9*2,4+1,8*1,6)*5-3,0*7)*3</t>
  </si>
  <si>
    <t>=(0,2+0,2+0,32)*(15,96+13,91+9,2+10,85+17,7)</t>
  </si>
  <si>
    <t>=4,68+3,78*4+4,45+3,37+0,3*(9,12+8,3*4+8,72+7,7)</t>
  </si>
  <si>
    <t>=(4,68+3,78*4+4,45+3,37)*3+0,3*(9,12+8,3*4+8,72+7,7)*3</t>
  </si>
  <si>
    <t>=4,68+3,78*3+4,45+3,37+0,3*(9,12+8,3*3+8,72+7,7)</t>
  </si>
  <si>
    <t>=2,67*(2,51+1,89)</t>
  </si>
  <si>
    <t>=2,67*(2,51+1,89)*3</t>
  </si>
  <si>
    <t>=2,67*2,33</t>
  </si>
  <si>
    <t>=2,67*2,33*3</t>
  </si>
  <si>
    <t>=30,3+11,97</t>
  </si>
  <si>
    <t>=37,34*3+10,57</t>
  </si>
  <si>
    <t>=4,27+1,59+4,61+1,73+4,3+3,96+4,33+1,59+4,67</t>
  </si>
  <si>
    <t>=4,27+1,59+3,92+3,97+4,3+3,96+4,33+1,59+4,67</t>
  </si>
  <si>
    <t>КИН 1,</t>
  </si>
  <si>
    <t>=4,53+12,45</t>
  </si>
  <si>
    <t>ознака 1а у кругу</t>
  </si>
  <si>
    <t>зидарска мера 95/205 цм</t>
  </si>
  <si>
    <t>ознака 1б у кругу</t>
  </si>
  <si>
    <t>зидарска мера 100/205 цм</t>
  </si>
  <si>
    <t>зидарска мера 85/205 цм</t>
  </si>
  <si>
    <t>ознака 2а у кругу</t>
  </si>
  <si>
    <t>ознака 3а у кругу</t>
  </si>
  <si>
    <t>зидарска мера 800/205 цм</t>
  </si>
  <si>
    <t>прагови димензија 85/12/3 цм</t>
  </si>
  <si>
    <t>зидарска мера 180/160+90/240 цм</t>
  </si>
  <si>
    <t>ознака 1а*   у дуплом кругу</t>
  </si>
  <si>
    <t>ознака 1а   у дуплом кругу</t>
  </si>
  <si>
    <t>ознака 1б*   у дуплом кругу</t>
  </si>
  <si>
    <t>зидарска мера 150/160+90/240 цм</t>
  </si>
  <si>
    <t>ознака 5*   у дуплом кругу</t>
  </si>
  <si>
    <t>зидарска мера 100/60цм</t>
  </si>
  <si>
    <t>ознака 6   у дуплом кругу</t>
  </si>
  <si>
    <t>трокрилни прозор,  у свему према шеми</t>
  </si>
  <si>
    <t>зидарска мера 210/160цм</t>
  </si>
  <si>
    <t>ознака 6 *  у дуплом кругу</t>
  </si>
  <si>
    <t>зидарска мера 270/160цм</t>
  </si>
  <si>
    <t>ознака 8* у дуплом кругу</t>
  </si>
  <si>
    <t>двокрилна балконска врата,  у свему према шеми</t>
  </si>
  <si>
    <t>ознака 9 у дуплом кругу</t>
  </si>
  <si>
    <t>једнокрилна балконска врата,  у свему према шеми</t>
  </si>
  <si>
    <t>зидарска мера 90/240цм</t>
  </si>
  <si>
    <t>ознака 9* у дуплом кругу</t>
  </si>
  <si>
    <t>ознака 4 у квадрату</t>
  </si>
  <si>
    <t>зидарска мера 300/245 цм</t>
  </si>
  <si>
    <t>ознака 4А у квадрату</t>
  </si>
  <si>
    <t>зидарска мера 300/340 цм</t>
  </si>
  <si>
    <t>фасадна стаклена преграда на ходнику, отварање у складу са шемом</t>
  </si>
  <si>
    <t>зидарска мера 162,5/240 цм</t>
  </si>
  <si>
    <t>ознака 5 у квадрату</t>
  </si>
  <si>
    <t>ознака П у квадрату</t>
  </si>
  <si>
    <t>Набавка транспорт  и уградња фасадне браварије,  једнокрилна врата са жалузином. Метална врата, крило врата је у раму од челичних профила 40/40мм са обостраном облогом од челичног лима д=2мм. Шток је од челичних кутијастих профила 40/40мм, опшив штока је такође од челичног лима. Жалузине су доњој зони крила врата. Са унутрашње стране на делу жалузина фиксирати заштитну мрежицу.</t>
  </si>
  <si>
    <t>метална једнокрилна врата са жалузином</t>
  </si>
  <si>
    <t>ознака Б у дуплом квадрату</t>
  </si>
  <si>
    <t>Са унутрашње стране на конструкцију фиксирати заштитну мрежицу.</t>
  </si>
  <si>
    <t>Заштиту против корозије и бојити масном  бојом  два пута у тону 9006 по RALL стандарду.</t>
  </si>
  <si>
    <t>Врата су опремљена потребним оковом, кључаоницом са три кључа и
механизмом за самозатварање</t>
  </si>
  <si>
    <t>Врата треба да поседују сертификат за ватроотпорност издат од стране 
овлашћеног тела за цео склоп.</t>
  </si>
  <si>
    <t>Испитивање отпорности врата према пожару треба да је извршено према  стандарду SRPS U. Ј1 160.( Технички услови заштите од пожара у грађевинарству- испитивање  тпорности врата и других елемената за затварање отвора у зидовима).</t>
  </si>
  <si>
    <t>зидарска мера 60/70 цм</t>
  </si>
  <si>
    <t>ознака К у осмоуглу</t>
  </si>
  <si>
    <t xml:space="preserve">ПП капак за излаз у тавански простор </t>
  </si>
  <si>
    <t>ограда висине 110цм, ознака СО у дуплом квадрату</t>
  </si>
  <si>
    <t>=2,87*4*2+0,1*2*4+1,52</t>
  </si>
  <si>
    <t>унутрашње ограде</t>
  </si>
  <si>
    <t>Набавка транспорт  и уградња унутрашње сигурносне ограде. Ограде су изграђене од хладно вучених челичних профила - црна браварија.</t>
  </si>
  <si>
    <t>унутрашња сигурносна ограда висине 100цм,                                                          ознака СО1 у дуплом квадрату</t>
  </si>
  <si>
    <t>унутрашња сигурносна ограда висине 100цм,                                                          ознака СО2 у дуплом квадрату</t>
  </si>
  <si>
    <t>=1,4*4</t>
  </si>
  <si>
    <t>=(1,35*2+2,9)*19</t>
  </si>
  <si>
    <t>ограда висине 105цм,                                                          ознака О9 у дуплом квадрату</t>
  </si>
  <si>
    <t>=2,73*5</t>
  </si>
  <si>
    <t>ограда висине 105цм,                                                          ознака О10 у дуплом квадрату</t>
  </si>
  <si>
    <t>=(1,35*2+2,6)*5</t>
  </si>
  <si>
    <t>ограда висине 105цм,                                                          ознака О11 у дуплом квадрату</t>
  </si>
  <si>
    <t>=2,43*5</t>
  </si>
  <si>
    <t>ограда висине 105цм,                                                          ознака О12 у дуплом квадрату</t>
  </si>
  <si>
    <t>=1,43*5</t>
  </si>
  <si>
    <t>француски балкон - ограда</t>
  </si>
  <si>
    <t>=15,96+13,91+9,2+10,85+17,7</t>
  </si>
  <si>
    <t>Са једне стране, окапницу самплеха препустити преко ивице плоче на коти +15,00, а другу страну подвући под лежећи олук. Укупна развијена ширина је 70 цм. Пластификација у тону према избору пројектанта.</t>
  </si>
  <si>
    <t>Пре уградње лулица, отвор у зиду премазати хидроизолационим премазом типа полиазбитол или слично два пута и поставити мрежицу.</t>
  </si>
  <si>
    <t>Обрачун по комаду .</t>
  </si>
  <si>
    <t>Набавака материјал и уградња лулица са сабирном кутијом за одвод воде са тераса. Лулице Ø 50 mm израдити од равног челичног, поцинкованог, завршно пластифицираног лима.</t>
  </si>
  <si>
    <t>=6+7*4</t>
  </si>
  <si>
    <t>РK1</t>
  </si>
  <si>
    <t>=494,59+4,2</t>
  </si>
  <si>
    <t>=494,59+4,2+2,88</t>
  </si>
  <si>
    <t>4.13.4.</t>
  </si>
  <si>
    <t>цементна кошуљица д=3 цм</t>
  </si>
  <si>
    <t>заштита хидризилације  РК1</t>
  </si>
  <si>
    <t>Набавка материјала, транспорт и опшивање крова ОСБ плочама дебљине д=22 мм. Плоче се фиксирају за рогове (у крову К1), за решетку (у крову К2), и за гредице (у равном крову РК1)</t>
  </si>
  <si>
    <t xml:space="preserve">Набавка материјала, транспорт и израда опшивке венца. </t>
  </si>
  <si>
    <t>=10,85+8,2+6,92+1,1</t>
  </si>
  <si>
    <t>=0,52*5</t>
  </si>
  <si>
    <t>Набавка материјала и опшивање  греда на коти +15,25. Опшав је од пластифицираног челичног лима дебљине д= 0,6 мм, у тону према избору пројектанта. Окапницу обострано препустити за 3 цм или је препустити преко покривача. Испод лима поставити дашчану оплату са слојем кровне лепенке, што је саставни део позиције. Опшивање извести у свему према детаљу.</t>
  </si>
  <si>
    <t>Набавка материјала, транспорт и израда опшивке вишег дела зидова и крова, са стране према крову. Опшивка од челичног поцинкованог пластифицираног лима дебљине д=0,6мм.</t>
  </si>
  <si>
    <t>развијене ширинеод 50 до 110 цм..</t>
  </si>
  <si>
    <t>11.14.</t>
  </si>
  <si>
    <t>=4,257+5,58+1,59+3,92+4,2+3,97+4,14+4,3+4,18+3,96+4,26+4,33+5,39+1,59+4,67+4,4</t>
  </si>
  <si>
    <t>=(4,257+5,58+1,59+3,92+4,2+3,97+4,14+4,3+4,18+3,96+4,26+4,33+5,39+1,59+4,67+4,4)*3</t>
  </si>
  <si>
    <t>=11,97+35,9+4,22</t>
  </si>
  <si>
    <t>=4,27+5,58+1,59+4,61+5,55+1,73+4,3+4,18+3,96+4,26+4,33+5,39+1,59+4,67+4,4+2,54</t>
  </si>
  <si>
    <t>=37,34+2,85*1,31</t>
  </si>
  <si>
    <t>=(37,34+2,85*1,31)*3</t>
  </si>
  <si>
    <t>=4,68+3,78*3+4,45+3,37</t>
  </si>
  <si>
    <t>=(4,68+3,78*4+4,45+3,37)*3</t>
  </si>
  <si>
    <t>=2,94*3+1,42*2*3+2,94*5*4+1,42*2*5*4</t>
  </si>
  <si>
    <t>=10,33+9,81+8,54+7,72+10,0+8,8</t>
  </si>
  <si>
    <t>=10,33+8,6+8,52+8,54+8,82+10,0+8,79</t>
  </si>
  <si>
    <t>=(10,33+8,6+8,52+8,54+8,82+10,0+8,79)*3</t>
  </si>
  <si>
    <t>Набавка материјала, транспорт и обзиђивање када, плочама поробетона (типа Итонг или одговарајуће).</t>
  </si>
  <si>
    <t>Плоче су димензија 625/250 мм, д=75мм.</t>
  </si>
  <si>
    <t>Набавка материјала, транспорт и малтерисање зида СЗ5, од поробетона, танкослојним малтером.</t>
  </si>
  <si>
    <t>=2,56*(1,6+0,42)</t>
  </si>
  <si>
    <t>=2,77*(8,75+5,18+8,6+5,46+8,73+8,17+8,61+5,18+8,79)</t>
  </si>
  <si>
    <t>=2,77*(8,75+5,18+8,6+8,4+8,73+8,17+8,61+5,18+8,79)</t>
  </si>
  <si>
    <t>=2,77*(8,75+5,18+8,6+8,4+8,73+8,17+8,61+5,18+8,79)*3</t>
  </si>
  <si>
    <t>Набавка материјала, транспорт и малтерисање унутрашњих зидова (подлога за лепљење керамике у купатилима), цементним малтером, размере 1:3 у два слоја. Први слој дебљине д=1,5 цм радити од грубог, несејаног малтера, а други слој од просејаног малтера дебљине д=0,5 цм.</t>
  </si>
  <si>
    <t>=9,12+8,3*3+8,72+7,7</t>
  </si>
  <si>
    <t>=9,12+8,3*4+8,72+7,7</t>
  </si>
  <si>
    <t>=(9,12+8,3*4+8,72+7,7)*3</t>
  </si>
  <si>
    <t>=(0,3+0,16)*9*2+1,31+2,86+1,41</t>
  </si>
  <si>
    <t>=(0,3+0,16)*9*2*2+(1,31+2,86+1,41)*2</t>
  </si>
  <si>
    <t>=2,4*(8,75+5,18+8,6+5,46+8,73+8,17+8,61+5,18+8,79+6,48)-(0,8*2,05*7+0,85*2,05*2+0,9*2,05-0,5*10)</t>
  </si>
  <si>
    <t>=2,4*(8,75+5,18+8,12+8,4+8,73+8,17+8,61+5,18+8,79)-(0,8*2,05*7+0,85*2,05*2-0,5*9)</t>
  </si>
  <si>
    <t>=2,4*(8,75+5,18+8,12+8,4+8,73+8,17+8,61+5,18+8,79)*3-(0,8*2,05*7+0,85*2,05*2-0,5*9)*3</t>
  </si>
  <si>
    <t>=0,7*(0,6*2+2,94+0,6*2+2,35+0,6*3+1,1+2,25+0,6*2+2,44+0,6*2+2,97+0,6*2,32)</t>
  </si>
  <si>
    <t>=0,7*(0,6*2+2,94+0,6*2+2,35+0,6*3+1,1+2,25+0,6*2+2,2+0,6*3+2,24+1,1+0,6*2+2,97+0,6*2+2,32)</t>
  </si>
  <si>
    <t>=0,7*(0,6*2+2,94+0,6*2+2,35+0,6*3+1,1+2,25+0,6*2+2,2+0,6*3+2,24+1,1+0,6*2+2,97+0,6*2+2,32)*3</t>
  </si>
  <si>
    <t>=9*2*1,37</t>
  </si>
  <si>
    <t>=9*2*3*1,37</t>
  </si>
  <si>
    <t>улазно спољно степениште,                                                      степеници 14,5/33 цм</t>
  </si>
  <si>
    <t>=6*1,87</t>
  </si>
  <si>
    <t>=4,98+24,39+11,61+11,32+1,24+6,46+24,15+9,17+12,79+12,2+3,22+1,37+20,41+7,54+0,96+21,24+5,87+23,48+11,56+11,4+1,24+3,17+23,11</t>
  </si>
  <si>
    <t>=4,98+24,39+11,61+11,32+1,24+4,53+20,46+12,45+5,13+20,56+10,97+1,37+20,41+7,54+0,96+21,24+5,87+23,78+11,56+11,4+1,24+3,17+23,11</t>
  </si>
  <si>
    <t>=(4,98+24,39+11,61+11,32+1,24+4,53+20,46+12,45+5,13+20,56+10,97+1,37+20,41+7,54+0,96+21,24+5,87+23,78+11,56+11,4+1,24+3,17+23,11)*3</t>
  </si>
  <si>
    <t>=9,49+24,6+14,28+13,48+4,45+9,1+18,46+14,92+11,01+19,93+13,52+5,11+20,04+11,31+4,04+21,23+10,05+23,9+14,28+13,53+10,05+7,29+19,27</t>
  </si>
  <si>
    <t>=3*(9,49+24,6+14,28+13,48+4,45+9,1+18,46+14,92+11,01+19,93+13,52+5,11+20,04+11,31+4,04+21,23+10,05+23,9+14,28+13,53+10,05+7,29+19,27)</t>
  </si>
  <si>
    <t>=9,49+24,6+14,28+13,48+4,45+1,99+20,38+12,11+14,6+14,7+8,43+5,11+20,91+11,31+4,04+21,23+10,05+23,9+14,28+13,53+4,45+7,29+19,27</t>
  </si>
  <si>
    <t>=0,8*9</t>
  </si>
  <si>
    <t>=0,8*9*3</t>
  </si>
  <si>
    <t>=2,67*(9,49+24,6+10,33+14,28+13,48+4,45+11,99+20,83+9,81+12,11+14,6+14,7+8,34+5,11+20,91+8,54+11,31+4,04+21,23+8,72+10,05+23,9+10,0+14,28+13,53+4,45+7,29+19,27+8,8)-(2,1*1,6*2+(0,9*2,4+1,8*1,6)*3+(0,9*2,4+1,5*1,6)+2,7*1,6-3,0*7)</t>
  </si>
  <si>
    <t>=2,67*(9,49+24,6+10,33+14,28+13,48+4,45+9,1+18,46+8,6+14,92+11,01+19,93+8,52+13,52+5,11+20,4+8,54+11,31+4,04+21,23+8,82+10,05+23,9+10,0+14,28+10,05+7,29+19,27+8,8)-(2,1*1,6*2+(0,9*2,4+1,8*1,6)*4+(0,9*2,4+1,5*1,6)-3,0*7)</t>
  </si>
  <si>
    <t>=2,67*(9,49+24,6+10,33+14,28+13,48+4,45+9,1+18,46+8,6+14,92+11,01+19,93+8,52+13,52+5,11+20,4+8,54+11,31+4,04+21,23+8,82+10,05+23,9+10,0+14,28+10,05+7,29+19,27+8,8)*3-(2,1*1,6*2+(0,9*2,4+1,8*1,6)*4+(0,9*2,4+1,5*1,6)-3,0*7)*3</t>
  </si>
  <si>
    <t>=64,98+79,88+30,26+30,42+64,86+35,35+33,11+11,97+2,54</t>
  </si>
  <si>
    <t>=64,98+45,56+44,78+30,26+30,42+64,68+35,35+37,34</t>
  </si>
  <si>
    <t>=(64,98+45,56+44,78+30,26+30,42+64,68+35,35+37,34)*3</t>
  </si>
  <si>
    <t>=1,38*3,12*2+1,05*2,85</t>
  </si>
  <si>
    <t>=1,38*3,12*2*3+1,05*2,85*3</t>
  </si>
  <si>
    <t>=0,1*0,2*0,9*6</t>
  </si>
  <si>
    <t>=0,1*0,2*0,9*7</t>
  </si>
  <si>
    <t>=0,1*0,2*0,9*7*3</t>
  </si>
  <si>
    <t>Набавка материјала, транспорт и бетонирање парапетног зида од мршавог бетона МБ 20 (С16/20),  дебљине д=20 цм, испод отвора за излазак на терасу.</t>
  </si>
  <si>
    <t>Набавка материјала, транспорт и израда опшивке зидова у оси ''Д'' са стране према крову. Опшивка од челичног поцинкованог пластифицираног лима дебљине д=0,6мм.</t>
  </si>
  <si>
    <t>Набавка материјала, транспорт и израда опшивке дилатације у крову. Опшав је од челичног поцинкованог пластифицираног лима дебљине д=0,6мм, развијене ширине 70 цм.</t>
  </si>
  <si>
    <t>Набавка материјала, транспорт и израда опшивке завршетка калкана у оси Д.</t>
  </si>
  <si>
    <t>=8,2+6,92+1,1+2,95+2,17</t>
  </si>
  <si>
    <t>=15,9*(16,8+12,77+9,7+11,8+17,95)+17,95*(8,6+7,6+1,3)</t>
  </si>
  <si>
    <t>2.22.</t>
  </si>
  <si>
    <t>=0,15*2,12*0,75*2</t>
  </si>
  <si>
    <t>2.14.1.</t>
  </si>
  <si>
    <t>2.14.2.</t>
  </si>
  <si>
    <t>2.23.1.</t>
  </si>
  <si>
    <t>2.23.2.</t>
  </si>
  <si>
    <t>=4,68+3,78*5+4,45+3,37+0,25*(1,3*2+2,7)*5</t>
  </si>
  <si>
    <t>=4,68+3,78*4+4,45+3,37+0,25*(1,3*2+2,7)*4</t>
  </si>
  <si>
    <t>=(4,68+3,78*5+4,45+3,37)*3+0,25*(1,3*2+2,7)*5*3</t>
  </si>
  <si>
    <t>=1,0*10,89+0,85*10,89</t>
  </si>
  <si>
    <t>=0,55*(1,3*2+2,7)*4+0,55*(1,3*2+2,7)*5*4</t>
  </si>
  <si>
    <t>=1,1*(0,84*4+0,53*4+0,87*4+0,53*4+0,7*2+1,54*2+0,84*2+1,07*2+0,82*2+1,68*2+0,53*2+0,97*2+0,67*4+0,53*2+0,77*2+0,84*2+1,31*2)</t>
  </si>
  <si>
    <t>=15,12*(0,67+11,29)+11,48*(1,82*2+1,38)+3,18*1,38+(16,17+17,7)/2*8,26+2,7*(3,22+1,8+1,32*2)-(2,31*2,4+2,1*1,6+6+0,9*2,4*14+1,8*1,6*9+1,0*1,6*18+1,38*2,4*5+2,7*1,6)</t>
  </si>
  <si>
    <t>ФЗ 1, ФЗ 1*, ФЗ 2, ФЗ 2*, ФЗ 3, ФЗ 4, ФЗ5</t>
  </si>
  <si>
    <t>=(16,17+17,7)/2*6,96+16,17*1,3+15,12*(14,87+0,25)+2,7*(2,9+1,8)-(1,0*1,6*15+1,8*1,6*15+0,9*2,4*15+2,1*1,6*2)</t>
  </si>
  <si>
    <t>=15,12*(6,44+0,6+2,8)-(2,8*2,45*4+1,0*1,6*10+0,9*2,1)</t>
  </si>
  <si>
    <t>=15,12*(11,87+11,74+0,37)-(1,0*1,6*10+1,0*0,6*5+1,8*1,6*15+0,9*2,4*5+1,5*1,6*5)</t>
  </si>
  <si>
    <t xml:space="preserve">=1,35*1,64 *4,    </t>
  </si>
  <si>
    <t>камена минерална вуна д=6 цм</t>
  </si>
  <si>
    <t>фасадни зидови у висини ролетне</t>
  </si>
  <si>
    <t>=0,2*(2,7*19+2,4*5+1,8*20+10,*53+2,1*10+2,7+1,38+0,9*10)</t>
  </si>
  <si>
    <t>=0,3*(24,82+1,3+14,78+6,38+13,54+9,2+0,6+11,87)</t>
  </si>
  <si>
    <t>ФЗ 5, ФЗ 6</t>
  </si>
  <si>
    <t>камена минерална вуна д=16 цм</t>
  </si>
  <si>
    <t>=2,7*1,33*2</t>
  </si>
  <si>
    <t>бочни зидови тераса - лођа и улаз у објекат</t>
  </si>
  <si>
    <t>=2,79*((1,68+0,55+0,25)*5+0,25*2+0,16*2)</t>
  </si>
  <si>
    <t>фасадни зидови улаз у објекат</t>
  </si>
  <si>
    <t>Набавка материјала, транспорт и израда термоизолације фасадних зидова, у зони сокле и фасадна греда венац</t>
  </si>
  <si>
    <t>фасадна греда венац - д=3 cm</t>
  </si>
  <si>
    <t>=(0,38*2+0,15)*(9,2+14,0+16,0+17,95)+(0,2*2+0,26+1,6)*1,62+0,94*3,0+(0,38+0,15+0,97)*10,85</t>
  </si>
  <si>
    <t>=33,11+11,97</t>
  </si>
  <si>
    <t>хоризонтална хидроизолација КИН 7</t>
  </si>
  <si>
    <t>=26,41+17,05+28,73+25,61+23,66+5,58+7,49+31,59+47,53+39,85+36,24+22,21+16,6+13,67</t>
  </si>
  <si>
    <t>зидови СЗ 1, СЗ 1*, СЗ2, СЗ 2*, СЗ 2**, СЗ 3, СЗ 6, СЗ 6*,</t>
  </si>
  <si>
    <t>=2,77*(40,5+14,65+5,18+2,33+2,59+1,58)-(2,85*2,4+1,92*2,67+1,0*2,1*6+0,9*2,1)</t>
  </si>
  <si>
    <t>=2,77*(42,3+15,6+2,33+2,59+1,58)-(2,85*2,4+1,62*2,4+1,0*2,1*7)</t>
  </si>
  <si>
    <t>=2,77*(42,3+15,6+2,33+2,59+1,58)*3-(2,85*2,4+1,62*2,4+1,0*2,1*7)*3</t>
  </si>
  <si>
    <t>=2,77*(3,96+1,1+2,68+2,35+4,5+4,18)</t>
  </si>
  <si>
    <t>=2,77*(4,5+2,35+2,68+3,96+1,1+2,2+2,25+4,05)</t>
  </si>
  <si>
    <t>=2,77*(4,5+2,35+2,68+3,96+1,1+2,2+2,25+4,05)*3</t>
  </si>
  <si>
    <t>=2,77*(40,5+14,65+5,18+2,33+2,59+1,58)-(2,85*2,4+1,92*2,67+1,0*2,1*6+0,9*2,1)+2,77*(3,96+1,1+2,68+2,35+4,5+4,18)</t>
  </si>
  <si>
    <t>=2,77*(42,3+15,6+2,33+2,59+1,58)-(2,85*2,4+1,62*2,4+1,0*2,1*7)+2,77*(4,5+2,35+2,68+3,96+1,1+2,2+2,25+4,05)</t>
  </si>
  <si>
    <t>=2,77*(42,3+15,6+2,33+2,59+1,58)*3-(2,85*2,4+1,62*2,4+1,0*2,1*7)*3+2,77*(4,5+2,35+2,68+3,96+1,1+2,2+2,25+4,05)*3</t>
  </si>
  <si>
    <t>термоизолација зидова , СЗ 4</t>
  </si>
  <si>
    <t>=2,77*(2,59+1,84)</t>
  </si>
  <si>
    <t>=2,77*(2,59+1,84)*3</t>
  </si>
  <si>
    <t>термоизолација зидова , СЗ 4*</t>
  </si>
  <si>
    <t>Обрачун по м² изведене термоизолације,</t>
  </si>
  <si>
    <t>=2,77*2,32</t>
  </si>
  <si>
    <t>=2,77*2,32*3</t>
  </si>
  <si>
    <t>=16,14*13,54+6,77*1,62/2*2</t>
  </si>
  <si>
    <t>=2,95*1,65</t>
  </si>
  <si>
    <t>=64,98+45,56+44,78+30,26+30,42+64,86+35,35</t>
  </si>
  <si>
    <t>=(64,98+45,56+44,78+30,26+30,42+64,86+35,35)*3</t>
  </si>
  <si>
    <t>под са ознаком МКС 4,</t>
  </si>
  <si>
    <t>термоизолација конструкције изнад негрејаног простора КИН 4, КИН 5, КИН 6, КИН 7, КИН 8, КИН 9</t>
  </si>
  <si>
    <t>=64,98+79,88+30,26+30,42+64,86+35,35</t>
  </si>
  <si>
    <t>=4,53+11,97</t>
  </si>
  <si>
    <t xml:space="preserve">Термоизолација су плоче камене минералне вуна дебљине д=12 цм, произведене у складу са стандардом EN 13162, типа као "Knauf Insulation NaturBoard FIT-G PLUS" или одговарајуће, са коефицијентом топлотне проводљивости λ≤0,037 W/mK.  </t>
  </si>
  <si>
    <t>парна брана - типа "KnaufInsulation Homeseal LDS 200" или одговарајуће</t>
  </si>
  <si>
    <t xml:space="preserve">термоизолација конструкције изнад негрејаног простора КИГ 1, РК 1, </t>
  </si>
  <si>
    <t>7.2.5.</t>
  </si>
  <si>
    <t xml:space="preserve">КИГ 1, РК 1, </t>
  </si>
  <si>
    <t xml:space="preserve">Набавка материјала, транспорт и обрада сокле и зидова рампе завршним декоративним мозаичним малтером "BK Kul", или одговарајући. </t>
  </si>
  <si>
    <t xml:space="preserve">обрада зидова рампе </t>
  </si>
  <si>
    <t xml:space="preserve">обрада сокле </t>
  </si>
  <si>
    <t>=11,56*2</t>
  </si>
  <si>
    <t>Бетон се лије као подлога за темељне траке и темељне плоче.</t>
  </si>
  <si>
    <t xml:space="preserve">испод темељне траке </t>
  </si>
  <si>
    <t>испод  темељне плоче.</t>
  </si>
  <si>
    <t>=3,35*10,6+11,83*8,62+3,8*6,3+4,45*6,27+1,83*2,25</t>
  </si>
  <si>
    <t>=1,0*(3,77+4,17)+1,8*(10,6+16,97+14,63+6,27+6,3+3,03+4,47)+1,85*(4,17*2+3,77+4,47)+3,1*6,72+2,25*2,34</t>
  </si>
  <si>
    <t>=0,4*(1,0*(3,77+4,17)+1,8*(10,6+16,97+14,63+6,27+6,3+3,03+4,47)+1,85*(4,17*2+3,77+4,47)+3,1*6,72+2,25*2,34)</t>
  </si>
  <si>
    <t xml:space="preserve">Набавка материјала, транспорт и бетонирање темељних плоча галерије, армираним бетоном МБ 30 (С25/30), са остављањем потребних анкера. </t>
  </si>
  <si>
    <t>=0,4*(3,35*10,6+11,83*8,62+3,8*6,3+4,45*6,27+1,83*2,25)</t>
  </si>
  <si>
    <t xml:space="preserve">темељни зидови </t>
  </si>
  <si>
    <t>темељни зидови галерије</t>
  </si>
  <si>
    <t>=0,25*2,12*(4,97*2+4,64+3,57+3,06)</t>
  </si>
  <si>
    <t>=0,2*2,12*(4,94+4,57+11,4+17,97+6,27+14,37+5,74+6,47+4,03+6,0)</t>
  </si>
  <si>
    <t>=0,25*2,12*(1,55+1,2+5,15+0,5+3,79+14,17+5,67+6,47)</t>
  </si>
  <si>
    <t>=0,2*2,12*(2,95+17,12+1,83+2,25+9,47+1,0+0,91+2,34+6,0+5,49+3,0+4,57+2,01+6,44+1,0*2+5,17+4,94)</t>
  </si>
  <si>
    <t>=0,16*2,12*(3,76+1,75*2+2,92+2,92)</t>
  </si>
  <si>
    <t>=0,75*1,75*2,6</t>
  </si>
  <si>
    <t>=0,12*97,3+0,1*0,25*87,79</t>
  </si>
  <si>
    <t>=0,2*16,16*2,92+0,2*14,75*(11,5+0,5+4,34+1,24+0,76+6,72+0,47+0,94+4,18+1,25+7,1+2,9+0,9+1,25+6,38+1,82+3,0+0,95)+0,2*2,95*3,0+0,2*(1,1+2,45)/2*(8,02+6,72)-0,2*(1,0*1,6*(9*4+7)+1,0*2,1*5+1,0*1,0*5+2,4*2,5+0,9*2,1)</t>
  </si>
  <si>
    <t>Набавка материјала, транспорт и уградња неармираног бетона МБ 20, у паду д=22-35 цм.</t>
  </si>
  <si>
    <t>Горњу површину бетона фино испердашити.</t>
  </si>
  <si>
    <t>Бетон се лије као завршни слој у галерији.</t>
  </si>
  <si>
    <t>Обрачун по м², м³ са потребном глатком оплатом, челичним подупирачима и оплатом степеника.</t>
  </si>
  <si>
    <t xml:space="preserve">темељи  рампе </t>
  </si>
  <si>
    <t>=0,4*0,3*13,51*2</t>
  </si>
  <si>
    <t>=0,15*(0,51+1,55)/2*13,51*2</t>
  </si>
  <si>
    <t xml:space="preserve">темељи зидови рампе д=15цм </t>
  </si>
  <si>
    <t>=1,1*(6,01+6,02)</t>
  </si>
  <si>
    <t>плоче подеста рампе д=15цм</t>
  </si>
  <si>
    <t>=1,1*1,63</t>
  </si>
  <si>
    <t>степеници 14,5/33 цм</t>
  </si>
  <si>
    <t>=2,07*2,03</t>
  </si>
  <si>
    <t>=0,15*(0,82+1,45)/2*1,65*2+0,15*0,82*2,07+0,15*1,15*(3,11+2,85+0,89)</t>
  </si>
  <si>
    <t>=0,4*0,3*(4,75+2,07+2,45+0,89+2,28)</t>
  </si>
  <si>
    <t>темељи  степеништа</t>
  </si>
  <si>
    <t xml:space="preserve">темељи зидови степеништа д=15цм </t>
  </si>
  <si>
    <t>=2,85*2,87</t>
  </si>
  <si>
    <t>=0,2*2,5*(4,85+2,7+2,26+2,4+6,38+4,47+2,9+1,5+2,7+5,37+2,7+1,6+2,9)*3-0,2*(2,1*1,6*2+0,9*2,4*7+1,0*1,6*4+1,8*1,6*8+1,0*0,6+1,5*1,6)*3+0,2*(0,77+2,24)/2*7,7*2</t>
  </si>
  <si>
    <t>=0,2*0,2*6,87*2</t>
  </si>
  <si>
    <t>=(0,41+0,67)/2*(25,41+28,73+23,66+25,62+29,75+78,44+35,33+22,21)+0,55*0,55/2*101,8+(0,41+0,67)/2*0,8*101,8</t>
  </si>
  <si>
    <t>Набавка материјала, транспорт и бетонирање доње плоче лиф окна, дебљине дп=15 цм, армираним бетоном МБ 30 (С25/30), са остављањем анкера и отвора.</t>
  </si>
  <si>
    <t>Набавка материјала и израда хоризонталне хидроизолације против подземне воде и воде под притиском типа као ''Sika Proof A-08'' или одговарајуће темељне плоче, у следећим слојевима:</t>
  </si>
  <si>
    <t xml:space="preserve"> - геотекстил 300гр/м2
 - хидроизолација типа "Sika Proof" Sistem или одговарајуће</t>
  </si>
  <si>
    <t>Еластична хидроизолациона мембрана на бази флеxибилних полиолефина (  FPO  ), са специјалним лепком на бази Poliolefina (PO)  и интегрисаног филца од polipropilena (PP), која је у потпуности залепљена за АБ плочу са доње стране. Систем карактерише висока еластичнот и премошћавање евентуалних пукотина, немогућност миграције воде (у случају оштећења) у зонама како је лепак нанешен тј. у виду поља 10 x 10мм, при констатном притиску подземних вода до 1бара. Хидроизоалција има изузетну отпорност на агресивне подземне гасове као што су Радон и алкално окружење.</t>
  </si>
  <si>
    <t>Директним изливањем АБ плоче преко хидроизоалције долази до хемијског и механичког спајања хидроизолације и конструкције. Хидроизоалциони систем је отпоран до 10м воденог стуба тј. 1 бар константног притиска, у случају оштећења, вода неће мигрирати ван зоне лепка.</t>
  </si>
  <si>
    <t>Мембрана се на спојевима међусобно лепи, тј. на местим продора користи се самолепљива трака SikaProof Tape-150 A. Хидроизолациона мембрана мора бити у складу са EN 1928 B (24 h/60 kPa). Попречно издужење мора бити ≥ 450 % у складу са  EN 12311-1.</t>
  </si>
  <si>
    <t>Отпорност на статичко оптерећење мора бити у складу са EN 12730 (Method B, 24 h/20 kg). Хемијска отпорност мембране мора бити у складу са EN 1847 (28 d/+23 °C) i EN 1928 B (24 h/60 kPa). Отпорност на алкално окружење у складу EN 1847 (28 d/+23 °C) i EN 1928 B (24 h/60 kPa); Отпорност на Радон у складу са системом испитивања - (5.3 +/- 0.7) x 10-12 m2/s тј. да има сертификатSMU-a E-215/2011.</t>
  </si>
  <si>
    <t>Пре изливање бетона хидроизолација се мора адекватно очистити од контаминираних материјала, ради остварења што боље адхезије са бетоном. Поступак уградње преко припремљене подлоге у свему према упутству произвођача.</t>
  </si>
  <si>
    <t>хоризонтална хидроизолација испод плоче  КИН 4,КИН 7, КИН 8,КИН 9</t>
  </si>
  <si>
    <t>=25,41+28,73+23,66+25,62+29,75+78,44+35,33+22,21+115,36+19,3</t>
  </si>
  <si>
    <t>=(0,21+0,47)/2*527,97+0,35*0,35/2*101,8+0,5*194,77+0,5*(1,0*(3,77+4,17)+1,8*(10,6+16,97+14,63+6,27+6,3+3,03+4,47)+1,85*(4,17*2+3,77+4,47)+3,1*6,72+2,25*2,34)</t>
  </si>
  <si>
    <t>Кошуљица је армирана фибер влакнима дозирање према спецификацији произвођача. Кошуљицу глатко испердашити и припремити за израду подова.</t>
  </si>
  <si>
    <t>Обрачун по м² изведене кошуљице са фибер влакнима.</t>
  </si>
  <si>
    <t>термоизолација конструкције изнад негрејаног простора КИН 4, КИН 5, КИН 6, , КИН 8, КИН 9</t>
  </si>
  <si>
    <t>Набавка материјала, транспорт и облагање зидова, преко термоизолације, гипсаним плочама дебљине д=2х12,5 мм.</t>
  </si>
  <si>
    <t>облагање зидова гипс плочама д=2х12,5 мм, СЗ 4,</t>
  </si>
  <si>
    <t>облагање зидова влагоотпорним гипс  плочама д=2х12,5 мм,          СЗ 4*</t>
  </si>
  <si>
    <t>Набавка материјала, транспорт и уградња спуштених плафона од монолитних гипс  плоча, дебљине д=12,5 мм, који се фиксирају преко металне потконструкције, са штелујућим вешаљкама, а према спецификацији произвођача.</t>
  </si>
  <si>
    <t>плафон од гипс  плоча, спуштање 26 цм</t>
  </si>
  <si>
    <t>плафон од влагоотпорних гипс  плоча, спуштање 26 цм</t>
  </si>
  <si>
    <t>плафон од влагоотпорних гипс плоча, спуштање 16 цм</t>
  </si>
  <si>
    <t>плафон од влагоотпорних гипс  плоча, спуштање 12 цм</t>
  </si>
  <si>
    <t>гранитна керамика д=1цм  на лепку ,  ветробран, ходници (комуникације)</t>
  </si>
  <si>
    <t>гранитна керамика д=1цм  на лепку ,</t>
  </si>
  <si>
    <t>гранитна керамика д=1цм  на лепку , облагање горње површине зиданог дела ограде,  ширине 18цм, мере узети на лицу места</t>
  </si>
  <si>
    <t>Обрачун дат по м¹ развијене ширине газишта и чела степеника са протиклизном лајсном.</t>
  </si>
  <si>
    <t>Прозор  је снабдевен одговарајућим оковом са отварањем око хоризонталне и вертикалне осем,еслингер ролетнама (ПВЦ ламелице), ПВЦ подпрозорском клупицом и окапницом. Прозорска окапница је од алуминијумског екструдиралног пластифицираног лима.. Саставни део позиције</t>
  </si>
  <si>
    <t>=1,2*(371,53-204,72)</t>
  </si>
  <si>
    <t>Обрачун по м³ са одвозом земље на регистровану депонију, са утоваром и истоваром из возила и грубим планирањем земље на депонији.</t>
  </si>
  <si>
    <t>Рашчишћавање терена пре почетка грађења са скидањем шибља и корова и ископом површинског слоја хумуса дебљине 30 цм.</t>
  </si>
  <si>
    <t>=0,3*527,97</t>
  </si>
  <si>
    <t xml:space="preserve">Набавка материјала, транспорт и израда подлоге за подове цементном кошуљицом. </t>
  </si>
  <si>
    <t>Кошуљица се изводи  као пливајући под.</t>
  </si>
  <si>
    <t>Кошуљицу армирати синтетичким влакнима на бази пропилена (фибер влакна).</t>
  </si>
  <si>
    <t>Горњу површину припремити за израду финалних подова. Кошуљица мора да буде равана, чврста и осушена.</t>
  </si>
  <si>
    <t>Обрачун по м² изведене кошуљице, са фибер влакнима и припремом за финалне подове.</t>
  </si>
  <si>
    <t>цементна кошуљица у паду, д=4-5 цм</t>
  </si>
  <si>
    <t>цементна кошуљица д=4,5 цм</t>
  </si>
  <si>
    <t>Обрачун по м² изведене термоизолације и завршног слоја.</t>
  </si>
  <si>
    <t>цементна кошуљица у паду, д=3,5-5 цм</t>
  </si>
  <si>
    <t>Метална врата на електроканалу, ватроотпорности од 60 мин. 
Крила и довратник су израђени од поцинкованог челичног лима завршно 
обрађеног бојом.</t>
  </si>
  <si>
    <t>Набавка транспорт  и уградња пп  капак за излаз у тавански простор атестирана на ватроотпорност од 90 минута. Kапак је завршно обрађен челичним бојеним лимом и опремљен потребним оковом и механизмом за затварање.</t>
  </si>
  <si>
    <t>=2,75*3</t>
  </si>
  <si>
    <t>ознака 4Б у квадрату</t>
  </si>
  <si>
    <t>зидарска мера 300/145 цм</t>
  </si>
  <si>
    <t>Ископ у земљи III и IV категорије.</t>
  </si>
  <si>
    <t>Радити у свему према Геотехничком елаборату, Техничком извештају уз Пројекат конструкције и уз надзор геомеханичара. Предвидети и пиротехничко обезбеђење радова.</t>
  </si>
  <si>
    <t>=(0,22+0,35)/2*(115,36+19,3)</t>
  </si>
  <si>
    <t>=0,25*0,25*2,95*5*2+0,2*0,2*(0,85*2+1,7*2+2,33)</t>
  </si>
  <si>
    <t>у таванском простору</t>
  </si>
  <si>
    <t>=0,2*(0,85*2,35)/2*6,55*2</t>
  </si>
  <si>
    <t>=4,27+1,59+4,61+1,73+4,3+3,96+4,33+1,59+4,67+2,69+0,2*(8,75+5,18+8,6+5,64+8,73+8,17+8,61+5,18+8,79+6,48)+1,8*(0,8*2*6+1,65*6)</t>
  </si>
  <si>
    <t>косе  греде</t>
  </si>
  <si>
    <t>Обрачун по м³ са свом потребном глаком платом и челичним подупирачима.</t>
  </si>
  <si>
    <t>Обрачун по м³</t>
  </si>
  <si>
    <t>Обрачун по м³ изведеног тротоара са потребном оплатом.</t>
  </si>
  <si>
    <t>=4,27+1,59+3,92+3,97+4,3+3,96+4,33+1,59+4,67+0,2*(8,75+5,18+8,12+8,4+8,73+8,17+8,61+5,18+8,79)+1,8*(0,8*2*7+1,65*7)</t>
  </si>
  <si>
    <t>=(4,27+1,59+3,92+3,97+4,3+3,96+4,33+1,59+4,67+0,2*(8,75+5,18+8,12+8,4+8,73+8,17+8,61+5,18+8,79)+1,8*(0,8*2*7+1,65*7))*3</t>
  </si>
  <si>
    <t>12.1.5.</t>
  </si>
  <si>
    <t>=2,1*1,1</t>
  </si>
  <si>
    <t>=1,6+0,15*2</t>
  </si>
  <si>
    <t>Набавка транспорт  и уградња заштитне металне ограде- француски балкон. Ограде су изграђене од хладно вучених челичних профила - црна браварија.</t>
  </si>
  <si>
    <t>Ограде на подестима,  су од одговарајућих хладно вучених челичних профила у свему према шемама у графичкој документацији и горе наведеном опису. Висине ограда на подестима је 100 cm .</t>
  </si>
  <si>
    <t>ограда висине 110цм,                                                          ознака О13 у дуплом квадрату</t>
  </si>
  <si>
    <t>ознака Ж у дуплом квадрату</t>
  </si>
  <si>
    <t>зидарска мера 40/20цм</t>
  </si>
  <si>
    <t>Набавка транспорт  и уградња  металне жалузине - вентилационе решетке на лифт кућици.</t>
  </si>
  <si>
    <t>Решетка са хоризонтално распоређеним непокретним ламелама од пластифицираног челичног лима. Конструкција од L челичних профила 40/20мм.</t>
  </si>
  <si>
    <t>Коса плоча дп=15 цм, степеници 16,38/30 цм.</t>
  </si>
  <si>
    <t>степеници 16,38/30 цм</t>
  </si>
  <si>
    <t>=1,45*3,13*2*4</t>
  </si>
  <si>
    <t>=1,36*3,01*4</t>
  </si>
  <si>
    <t>12.5.</t>
  </si>
  <si>
    <t xml:space="preserve">Набавка материјала, транспорт и облагање парапетног зида терасе, првокласном  керамиком домаће производње. </t>
  </si>
  <si>
    <t>Обрачун по м¹ обложених парапетнох зидова тераса.</t>
  </si>
  <si>
    <t>гранитна керамика д=1цм  на лепку , облагање пода у лифт кабини</t>
  </si>
  <si>
    <t>ПВЦ оквир мора садржати подпрозорски профил како би се могла уградити унутрашња даска. Код балконских врата пројектовати са унутрашње стране покривну даску од буковог дрвета. Саставни део позиције</t>
  </si>
  <si>
    <t>зидарска мера 231/240 цм</t>
  </si>
  <si>
    <t>ознака 2А у квадрату</t>
  </si>
  <si>
    <t>зидарска мера 192/240цм</t>
  </si>
  <si>
    <t>пењалице</t>
  </si>
  <si>
    <t>=15,46*5</t>
  </si>
  <si>
    <t>=0,18*457,83-0,18*(1,75*2,6+1,3*3,8+0,6*0,6+0,6*2,1)</t>
  </si>
  <si>
    <t>=0,18*(457,83*4-(1,75*2,6+3,0*3,8+0,6*0,6+0,6*2,1+1,6*1,75)*4+459,63-1,75*2,6)</t>
  </si>
  <si>
    <t>=0,2*2,92*2,1</t>
  </si>
  <si>
    <t>=0,15*1,42*2,7*4*5+0,15*1,42*2,4*5</t>
  </si>
  <si>
    <t>=0,15*(0,97*10,95+0,95*3,0+0,35*(4,85+14,0+6,55+17,77)-0,5*(1,45+1,1*6))</t>
  </si>
  <si>
    <t>Укупан коефицијент за пролаз топлоте мора бити Uw≤1.6W/m2K (доказати прорачуном и приложити одговарајуће атесте)</t>
  </si>
  <si>
    <t>ограда на рампи</t>
  </si>
  <si>
    <t>Набавка транспорт  и уградња заштитне металне ограде- на рампи.</t>
  </si>
  <si>
    <t>Састоји се из хоризонталних  и  вертикалних кутијастих профила димензија хоп□ 50x40x4мм. Испуна ограде су два хоризонтална профила димензије хоп  40x20x4мм. Сви елементи су међусобно заварени. Рукохвати, постављени  на 70цм и 90цм од пода рампе, су  од челичних цеви ∅40/2.5 мм, везани арматурним гвожђем ∅10мм за вертикалне кутијасте профиле.</t>
  </si>
  <si>
    <t>Ограда је причвршћена за бетонску конструкцију преко анкер плочица, које су заварене за вертикалне кутијасте профиле, а веза  анкер плочица и бетонске конструкције је остварена преко  анкер завртњева м12.</t>
  </si>
  <si>
    <t>Ограду темељно очистити  и  заштитити против корозије антикорозивним премазом и  бојити  емајл лаком два пута у тону 7015 по рал стандарду.</t>
  </si>
  <si>
    <t>ограда висине 80цм, ознака РА1 у дуплом квадрату</t>
  </si>
  <si>
    <t>камена вуна д=3 цм у плафонима тераса</t>
  </si>
  <si>
    <t>Широки ископ земље II и III категорије за темеље објекта .</t>
  </si>
  <si>
    <t>Набавка материјала,транспорт, испуна инсталационог канала песком.</t>
  </si>
  <si>
    <t>Набавка материјала, транспорт и израда термо изолације на фасадним зидовима. Екструдирани полистирен је дебљине д=3 цм,</t>
  </si>
  <si>
    <t>Све постојеће детаље, као што су продори цеви, спојеви окана, отвори, главе шипова, дилатационе спојнице и било које друге детаље, формирати применом одговарајућих помоћних производа што улази у цену.</t>
  </si>
  <si>
    <t>Након тога се поставља термоизолација од XПС-а. Преко термозолације XПС се постављаја тачкасто на бар 4 места као "погаче " по табли термике епоксидни лепак који је компатибилан и са XПС материјалом и са ФПо мембраном Сикадур 31</t>
  </si>
  <si>
    <t xml:space="preserve"> Радове извести према пројекту, детаљима и упуству произвођача.</t>
  </si>
  <si>
    <t>=1,0*90,1+0,85*10,89</t>
  </si>
  <si>
    <t>даска на шанку</t>
  </si>
  <si>
    <t>Набавка материјала, транспорт и уградња даске на шанку од сувог дрвета (храст, укупне влажности сведене на 8-10%, чиме се избегава додатно расушивање и упијање).</t>
  </si>
  <si>
    <t>Шанк пулт ширине 30цм од пуне храстовине д=18мм,  са кант бордуром са све четири стране од пуне храстовине 7х4цм.</t>
  </si>
  <si>
    <t xml:space="preserve">Плочу пулта и бордуру спојити на перо/жљеб, лепљењем. Све одрадити до глатких површина и лакирати безбојним лаком </t>
  </si>
  <si>
    <t>Обрачун по м¹ уграђених и финално обрађених дасака на шанку.</t>
  </si>
  <si>
    <t>укупно Пос 8.5.</t>
  </si>
  <si>
    <t>=2,88+1,81+2,75+2,06+1,05</t>
  </si>
  <si>
    <t>=2,88+1,81+2,75+2,06+1,05*2</t>
  </si>
  <si>
    <t>=(2,88+1,81+2,75+2,06+1,05*2)*3</t>
  </si>
  <si>
    <t>2.13.1.</t>
  </si>
  <si>
    <t>2.13.2.</t>
  </si>
  <si>
    <t>укупно Пос 2.14.1.</t>
  </si>
  <si>
    <t>укупно Пос 2.15.</t>
  </si>
  <si>
    <t>2.17.</t>
  </si>
  <si>
    <t>2.22.1.</t>
  </si>
  <si>
    <t>2.22.2.</t>
  </si>
  <si>
    <t>2.22.3.</t>
  </si>
  <si>
    <t>2.22.4.</t>
  </si>
  <si>
    <t>2.23.3.</t>
  </si>
  <si>
    <t>Хидроизолација је постављена преко урађене подлоге од мршавог бетона са препустима за везу са вертикалном хидроизолацијом и геотекстила или преко тврде термоизолације типа XPS.</t>
  </si>
  <si>
    <t>6.3.1.</t>
  </si>
  <si>
    <t>6.4.1.</t>
  </si>
  <si>
    <t>укупно Пос 6.4.1.</t>
  </si>
  <si>
    <t>6.4.2.</t>
  </si>
  <si>
    <t>6.4.3.</t>
  </si>
  <si>
    <t>6.4.4.</t>
  </si>
  <si>
    <t>6.4.5.</t>
  </si>
  <si>
    <t>6.4.6.</t>
  </si>
  <si>
    <t>укупно Пос 6.4.6.</t>
  </si>
  <si>
    <t>6.5.</t>
  </si>
  <si>
    <t>6.6.1.</t>
  </si>
  <si>
    <t>укупно Пос 6.6.1.</t>
  </si>
  <si>
    <t>6.6.2.</t>
  </si>
  <si>
    <t>укупно Пос 6.6.2.</t>
  </si>
  <si>
    <t>укупно Пос 6.7.</t>
  </si>
  <si>
    <t>6.11.2.</t>
  </si>
  <si>
    <t>6.18.</t>
  </si>
  <si>
    <t>укупно Пос 7.1.2.</t>
  </si>
  <si>
    <t>укупно Пос 7.2.1.</t>
  </si>
  <si>
    <t>укупно Пос 7.2.3.</t>
  </si>
  <si>
    <t>7.4.</t>
  </si>
  <si>
    <t>8.6.</t>
  </si>
  <si>
    <t>10.16.</t>
  </si>
  <si>
    <t>Испод опшивке поставити кровну лепенку, што је саставни део позиције.</t>
  </si>
  <si>
    <t xml:space="preserve">Опшав је од челичног поцинкованог пластифицираног лима дебљине                          д= 0,6 мм, са обострано препуштеном окапницом, укупне развијене ширине 40 цм. Опшав фиксирати за армирано бетонски венац преко дистанцера, који формирају пад. </t>
  </si>
  <si>
    <t>Набавка материјала и облагање газишта и чела степеника противклизном гранитном керамиком, противклизна - Р 11 која се полаже на додир, у цементном малтеру размере 1:3, у слогу према избору пројектанта. На споју газишта и чела, уградити противклизну алуминијумску лајсну ширине 3-4 цм.</t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</si>
  <si>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0,228 W/mK.</t>
    </r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</si>
  <si>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0,201 W/mK.</t>
    </r>
  </si>
  <si>
    <t>Набавка транспорт  и уградња фасадне ПВЦ столарије, прозор и балконска врата израђени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</si>
  <si>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Београд, ………... 2018.</t>
  </si>
  <si>
    <t>ПГД СТАМБЕНИ ОБЈЕКТИ, локација СТЕВАН СИНЂЕЛИЋ  КП 1398/12                                                               КО Ниш / Црвени крст објекат А
 - ЛАМЕЛЕ А3</t>
  </si>
  <si>
    <t xml:space="preserve">ПРЕДМЕР  РАДОВА </t>
  </si>
  <si>
    <t>ПОНУЂАЧ</t>
  </si>
  <si>
    <t>Назив и седиште фирме:</t>
  </si>
  <si>
    <t>М.П</t>
  </si>
  <si>
    <t>Одговорно лице:</t>
  </si>
  <si>
    <t>Набавка материјала, транспорт и уградња храстових прагова код врата на улазу у станове и у санитарне чворове.</t>
  </si>
  <si>
    <t xml:space="preserve">Израда еластичним, без растварача, заптивачем  "БД-50". </t>
  </si>
  <si>
    <t xml:space="preserve">Хидроизолација се изводи преко суве цементне кошуљице на поду односно омалтерисаних зидова, такође обезбеђује пријањање на кречно цементне малтере, гипсане табле и све врсте керамичких покривача. </t>
  </si>
  <si>
    <t>На суве површине се прво наноси адекватни прајмер "Polysil TG-500" па након тридесет минута први слој премаза.</t>
  </si>
  <si>
    <t>У спојеве,  под-зид и зид-зид, утапа се у први слој премаза, високоеластична полистерска мрежица ширине 10 цм типа Flex fabric. Након сушења првог слоја, након три сата (у оптималним условима), нанети завршни премаз. ТИП-4</t>
  </si>
  <si>
    <t>хидроизолације тераса преко изведеног слоја за пад, са подизањем уз холкере, двокомпонентним хидроизолационим еластичним акрил минералним водонепропусним премазом "К-21". Изводи се у два слоја са утапањем стаклене мрежице целом површином у први слој. Подлога се предходно премазује прајмером ''Polysil TG-500". Утапање високофлексибилне заптивајуће траке налик гуми типа "Flex Tape K-120" у спој плоче са зидом у први слој премаза. ТИП-3</t>
  </si>
  <si>
    <t>хидроизолација санитарних чворова ТИП-4</t>
  </si>
  <si>
    <t>хидроизолација  тераса ТИП-3</t>
  </si>
  <si>
    <t>Набавка материјала, транспорт и израда хидроизолације санитарних чворова,  и  тераса- хидроизолација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</si>
</sst>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>
    <font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name val="Yu 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22"/>
      </left>
      <right style="thin">
        <color indexed="22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theme="1" tint="0.34998626667073579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auto="1"/>
      </right>
      <top/>
      <bottom/>
      <diagonal/>
    </border>
    <border>
      <left style="thin">
        <color auto="1"/>
      </left>
      <right style="medium">
        <color theme="1" tint="0.34998626667073579"/>
      </right>
      <top/>
      <bottom/>
      <diagonal/>
    </border>
    <border>
      <left/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auto="1"/>
      </right>
      <top/>
      <bottom style="thin">
        <color theme="1" tint="0.34998626667073579"/>
      </bottom>
      <diagonal/>
    </border>
    <border>
      <left style="thin">
        <color auto="1"/>
      </left>
      <right style="thin">
        <color auto="1"/>
      </right>
      <top/>
      <bottom style="thin">
        <color theme="1" tint="0.34998626667073579"/>
      </bottom>
      <diagonal/>
    </border>
    <border>
      <left style="thin">
        <color auto="1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595959"/>
      </bottom>
      <diagonal/>
    </border>
  </borders>
  <cellStyleXfs count="4">
    <xf numFmtId="4" fontId="0" fillId="0" borderId="0">
      <alignment vertical="top" wrapText="1"/>
    </xf>
    <xf numFmtId="0" fontId="7" fillId="0" borderId="0" applyFont="0" applyFill="0" applyBorder="0" applyAlignment="0" applyProtection="0"/>
    <xf numFmtId="0" fontId="2" fillId="0" borderId="0"/>
    <xf numFmtId="4" fontId="12" fillId="0" borderId="0"/>
  </cellStyleXfs>
  <cellXfs count="434">
    <xf numFmtId="4" fontId="0" fillId="0" borderId="0" xfId="0">
      <alignment vertical="top" wrapText="1"/>
    </xf>
    <xf numFmtId="4" fontId="2" fillId="0" borderId="0" xfId="0" applyFont="1" applyFill="1">
      <alignment vertical="top" wrapText="1"/>
    </xf>
    <xf numFmtId="2" fontId="2" fillId="0" borderId="0" xfId="0" applyNumberFormat="1" applyFont="1" applyFill="1">
      <alignment vertical="top" wrapText="1"/>
    </xf>
    <xf numFmtId="2" fontId="2" fillId="0" borderId="0" xfId="0" applyNumberFormat="1" applyFont="1" applyFill="1" applyAlignment="1">
      <alignment horizontal="left" wrapText="1"/>
    </xf>
    <xf numFmtId="4" fontId="4" fillId="0" borderId="0" xfId="0" applyFont="1" applyFill="1" applyAlignment="1">
      <alignment vertical="top" wrapText="1"/>
    </xf>
    <xf numFmtId="2" fontId="2" fillId="0" borderId="0" xfId="0" applyNumberFormat="1" applyFont="1" applyFill="1" applyAlignment="1">
      <alignment vertical="top" wrapText="1"/>
    </xf>
    <xf numFmtId="4" fontId="2" fillId="0" borderId="0" xfId="0" applyFont="1" applyFill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0" xfId="0" quotePrefix="1" applyNumberFormat="1" applyFont="1" applyFill="1" applyBorder="1" applyAlignment="1"/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/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7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wrapText="1"/>
    </xf>
    <xf numFmtId="4" fontId="2" fillId="0" borderId="1" xfId="0" applyFont="1" applyFill="1" applyBorder="1" applyAlignment="1">
      <alignment vertical="top" wrapText="1"/>
    </xf>
    <xf numFmtId="4" fontId="2" fillId="0" borderId="1" xfId="0" quotePrefix="1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quotePrefix="1" applyFont="1" applyFill="1" applyBorder="1" applyAlignment="1">
      <alignment horizontal="right" wrapText="1"/>
    </xf>
    <xf numFmtId="4" fontId="2" fillId="0" borderId="1" xfId="0" applyNumberFormat="1" applyFont="1" applyFill="1" applyBorder="1">
      <alignment vertical="top" wrapText="1"/>
    </xf>
    <xf numFmtId="4" fontId="2" fillId="0" borderId="1" xfId="0" quotePrefix="1" applyNumberFormat="1" applyFont="1" applyFill="1" applyBorder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/>
    <xf numFmtId="4" fontId="2" fillId="0" borderId="7" xfId="0" applyNumberFormat="1" applyFont="1" applyFill="1" applyBorder="1" applyAlignment="1">
      <alignment horizontal="right"/>
    </xf>
    <xf numFmtId="4" fontId="2" fillId="0" borderId="6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/>
    <xf numFmtId="3" fontId="2" fillId="0" borderId="1" xfId="0" applyNumberFormat="1" applyFont="1" applyFill="1" applyBorder="1" applyAlignment="1"/>
    <xf numFmtId="0" fontId="4" fillId="0" borderId="6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vertical="top"/>
    </xf>
    <xf numFmtId="0" fontId="2" fillId="0" borderId="6" xfId="0" applyNumberFormat="1" applyFont="1" applyFill="1" applyBorder="1" applyAlignment="1">
      <alignment horizontal="center" vertical="top"/>
    </xf>
    <xf numFmtId="4" fontId="2" fillId="0" borderId="1" xfId="0" quotePrefix="1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>
      <alignment horizontal="right" vertical="center"/>
    </xf>
    <xf numFmtId="4" fontId="2" fillId="0" borderId="10" xfId="0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/>
    <xf numFmtId="0" fontId="3" fillId="0" borderId="15" xfId="0" applyNumberFormat="1" applyFont="1" applyFill="1" applyBorder="1" applyAlignment="1"/>
    <xf numFmtId="0" fontId="3" fillId="0" borderId="16" xfId="0" applyNumberFormat="1" applyFont="1" applyFill="1" applyBorder="1" applyAlignment="1"/>
    <xf numFmtId="0" fontId="3" fillId="0" borderId="17" xfId="0" applyNumberFormat="1" applyFont="1" applyFill="1" applyBorder="1" applyAlignment="1"/>
    <xf numFmtId="4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/>
    </xf>
    <xf numFmtId="4" fontId="3" fillId="0" borderId="15" xfId="0" applyNumberFormat="1" applyFont="1" applyFill="1" applyBorder="1" applyAlignment="1">
      <alignment horizontal="left"/>
    </xf>
    <xf numFmtId="0" fontId="3" fillId="0" borderId="16" xfId="0" applyNumberFormat="1" applyFont="1" applyFill="1" applyBorder="1" applyAlignment="1">
      <alignment horizontal="left"/>
    </xf>
    <xf numFmtId="4" fontId="3" fillId="0" borderId="16" xfId="0" applyNumberFormat="1" applyFont="1" applyFill="1" applyBorder="1" applyAlignment="1">
      <alignment horizontal="left"/>
    </xf>
    <xf numFmtId="4" fontId="3" fillId="0" borderId="17" xfId="0" applyNumberFormat="1" applyFont="1" applyFill="1" applyBorder="1" applyAlignment="1">
      <alignment horizontal="left"/>
    </xf>
    <xf numFmtId="2" fontId="3" fillId="0" borderId="14" xfId="0" applyNumberFormat="1" applyFont="1" applyFill="1" applyBorder="1" applyAlignment="1">
      <alignment horizontal="center"/>
    </xf>
    <xf numFmtId="4" fontId="2" fillId="0" borderId="7" xfId="0" applyFont="1" applyFill="1" applyBorder="1" applyAlignment="1">
      <alignment vertical="top" wrapText="1"/>
    </xf>
    <xf numFmtId="4" fontId="2" fillId="0" borderId="1" xfId="0" quotePrefix="1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/>
    </xf>
    <xf numFmtId="0" fontId="3" fillId="0" borderId="17" xfId="0" applyNumberFormat="1" applyFont="1" applyFill="1" applyBorder="1" applyAlignment="1">
      <alignment horizontal="left"/>
    </xf>
    <xf numFmtId="4" fontId="6" fillId="0" borderId="15" xfId="0" applyNumberFormat="1" applyFont="1" applyFill="1" applyBorder="1" applyAlignment="1">
      <alignment horizontal="left"/>
    </xf>
    <xf numFmtId="0" fontId="1" fillId="0" borderId="16" xfId="0" applyNumberFormat="1" applyFont="1" applyFill="1" applyBorder="1" applyAlignment="1">
      <alignment horizontal="center"/>
    </xf>
    <xf numFmtId="0" fontId="3" fillId="0" borderId="20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22" xfId="0" applyNumberFormat="1" applyFont="1" applyFill="1" applyBorder="1" applyAlignment="1"/>
    <xf numFmtId="4" fontId="3" fillId="0" borderId="20" xfId="0" applyNumberFormat="1" applyFont="1" applyFill="1" applyBorder="1" applyAlignment="1">
      <alignment horizontal="left"/>
    </xf>
    <xf numFmtId="0" fontId="3" fillId="0" borderId="21" xfId="0" applyNumberFormat="1" applyFont="1" applyFill="1" applyBorder="1" applyAlignment="1">
      <alignment horizontal="left"/>
    </xf>
    <xf numFmtId="4" fontId="3" fillId="0" borderId="21" xfId="0" applyNumberFormat="1" applyFont="1" applyFill="1" applyBorder="1" applyAlignment="1">
      <alignment horizontal="left"/>
    </xf>
    <xf numFmtId="4" fontId="3" fillId="0" borderId="22" xfId="0" applyNumberFormat="1" applyFont="1" applyFill="1" applyBorder="1" applyAlignment="1"/>
    <xf numFmtId="4" fontId="2" fillId="0" borderId="6" xfId="0" applyFont="1" applyFill="1" applyBorder="1" applyAlignment="1">
      <alignment horizontal="center" vertical="top" wrapText="1"/>
    </xf>
    <xf numFmtId="4" fontId="2" fillId="0" borderId="6" xfId="0" applyFont="1" applyFill="1" applyBorder="1" applyAlignment="1">
      <alignment horizontal="center" vertical="center" wrapText="1"/>
    </xf>
    <xf numFmtId="4" fontId="2" fillId="0" borderId="1" xfId="0" quotePrefix="1" applyFont="1" applyFill="1" applyBorder="1" applyAlignment="1">
      <alignment wrapText="1"/>
    </xf>
    <xf numFmtId="4" fontId="4" fillId="0" borderId="6" xfId="0" applyFont="1" applyFill="1" applyBorder="1" applyAlignment="1">
      <alignment horizontal="center" vertical="top" wrapText="1"/>
    </xf>
    <xf numFmtId="4" fontId="2" fillId="0" borderId="1" xfId="0" applyFont="1" applyFill="1" applyBorder="1" applyAlignment="1">
      <alignment wrapText="1"/>
    </xf>
    <xf numFmtId="4" fontId="2" fillId="0" borderId="1" xfId="0" applyFont="1" applyFill="1" applyBorder="1" applyAlignment="1">
      <alignment horizontal="center" wrapText="1"/>
    </xf>
    <xf numFmtId="4" fontId="2" fillId="0" borderId="1" xfId="0" applyFont="1" applyFill="1" applyBorder="1" applyAlignment="1"/>
    <xf numFmtId="4" fontId="2" fillId="0" borderId="3" xfId="0" applyFont="1" applyFill="1" applyBorder="1" applyAlignment="1">
      <alignment vertical="top" wrapText="1"/>
    </xf>
    <xf numFmtId="4" fontId="2" fillId="0" borderId="4" xfId="0" applyFont="1" applyFill="1" applyBorder="1" applyAlignment="1">
      <alignment vertical="top" wrapText="1"/>
    </xf>
    <xf numFmtId="4" fontId="2" fillId="0" borderId="5" xfId="0" applyFont="1" applyFill="1" applyBorder="1" applyAlignment="1">
      <alignment vertical="top" wrapText="1"/>
    </xf>
    <xf numFmtId="4" fontId="2" fillId="0" borderId="7" xfId="0" quotePrefix="1" applyNumberFormat="1" applyFont="1" applyFill="1" applyBorder="1" applyAlignment="1"/>
    <xf numFmtId="4" fontId="9" fillId="0" borderId="6" xfId="0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vertical="center"/>
    </xf>
    <xf numFmtId="4" fontId="2" fillId="0" borderId="0" xfId="0" quotePrefix="1" applyFont="1" applyFill="1" applyBorder="1" applyAlignment="1">
      <alignment vertical="top" wrapText="1"/>
    </xf>
    <xf numFmtId="4" fontId="2" fillId="0" borderId="18" xfId="0" applyFont="1" applyFill="1" applyBorder="1" applyAlignment="1">
      <alignment vertical="top" wrapText="1"/>
    </xf>
    <xf numFmtId="4" fontId="2" fillId="0" borderId="19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top"/>
    </xf>
    <xf numFmtId="3" fontId="2" fillId="0" borderId="1" xfId="0" quotePrefix="1" applyNumberFormat="1" applyFont="1" applyFill="1" applyBorder="1" applyAlignment="1"/>
    <xf numFmtId="0" fontId="2" fillId="0" borderId="6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1" xfId="0" quotePrefix="1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horizontal="right" vertical="center"/>
    </xf>
    <xf numFmtId="4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right" vertical="center"/>
    </xf>
    <xf numFmtId="4" fontId="2" fillId="0" borderId="1" xfId="0" quotePrefix="1" applyNumberFormat="1" applyFont="1" applyFill="1" applyBorder="1" applyAlignment="1">
      <alignment horizontal="right" vertical="center" wrapText="1"/>
    </xf>
    <xf numFmtId="4" fontId="2" fillId="0" borderId="0" xfId="0" applyFont="1" applyFill="1" applyBorder="1" applyAlignment="1">
      <alignment vertical="top" wrapText="1"/>
    </xf>
    <xf numFmtId="4" fontId="4" fillId="0" borderId="6" xfId="0" applyFont="1" applyFill="1" applyBorder="1" applyAlignment="1">
      <alignment horizontal="center" vertical="center" wrapText="1"/>
    </xf>
    <xf numFmtId="4" fontId="2" fillId="0" borderId="0" xfId="0" quotePrefix="1" applyFont="1" applyFill="1" applyBorder="1" applyAlignment="1">
      <alignment wrapText="1"/>
    </xf>
    <xf numFmtId="4" fontId="2" fillId="0" borderId="7" xfId="0" applyFont="1" applyFill="1" applyBorder="1" applyAlignment="1">
      <alignment horizontal="right" wrapText="1"/>
    </xf>
    <xf numFmtId="4" fontId="2" fillId="0" borderId="6" xfId="0" applyFont="1" applyFill="1" applyBorder="1" applyAlignment="1"/>
    <xf numFmtId="4" fontId="4" fillId="0" borderId="6" xfId="0" applyFont="1" applyFill="1" applyBorder="1" applyAlignment="1">
      <alignment horizontal="center" vertical="top"/>
    </xf>
    <xf numFmtId="4" fontId="2" fillId="0" borderId="0" xfId="0" applyFont="1" applyFill="1" applyAlignment="1">
      <alignment vertical="top"/>
    </xf>
    <xf numFmtId="0" fontId="2" fillId="0" borderId="0" xfId="0" applyNumberFormat="1" applyFont="1" applyFill="1" applyBorder="1" applyAlignment="1">
      <alignment horizontal="center"/>
    </xf>
    <xf numFmtId="4" fontId="2" fillId="0" borderId="1" xfId="0" applyFont="1" applyFill="1" applyBorder="1" applyAlignment="1">
      <alignment vertical="top"/>
    </xf>
    <xf numFmtId="4" fontId="2" fillId="0" borderId="0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/>
    </xf>
    <xf numFmtId="4" fontId="2" fillId="0" borderId="0" xfId="0" applyFont="1" applyFill="1" applyAlignment="1">
      <alignment horizontal="right" vertical="top"/>
    </xf>
    <xf numFmtId="4" fontId="2" fillId="0" borderId="1" xfId="0" quotePrefix="1" applyFont="1" applyFill="1" applyBorder="1" applyAlignment="1">
      <alignment vertical="top"/>
    </xf>
    <xf numFmtId="4" fontId="2" fillId="0" borderId="19" xfId="0" applyFont="1" applyFill="1" applyBorder="1" applyAlignment="1">
      <alignment horizontal="center" vertical="top" wrapText="1"/>
    </xf>
    <xf numFmtId="4" fontId="2" fillId="0" borderId="19" xfId="0" applyFont="1" applyFill="1" applyBorder="1" applyAlignment="1">
      <alignment horizontal="center" wrapText="1"/>
    </xf>
    <xf numFmtId="4" fontId="2" fillId="0" borderId="19" xfId="0" applyNumberFormat="1" applyFont="1" applyFill="1" applyBorder="1" applyAlignment="1"/>
    <xf numFmtId="0" fontId="2" fillId="0" borderId="19" xfId="0" applyNumberFormat="1" applyFont="1" applyFill="1" applyBorder="1" applyAlignment="1">
      <alignment horizontal="center"/>
    </xf>
    <xf numFmtId="4" fontId="2" fillId="0" borderId="19" xfId="0" applyNumberFormat="1" applyFont="1" applyFill="1" applyBorder="1" applyAlignment="1">
      <alignment horizontal="right"/>
    </xf>
    <xf numFmtId="4" fontId="2" fillId="0" borderId="19" xfId="0" quotePrefix="1" applyFont="1" applyFill="1" applyBorder="1" applyAlignment="1">
      <alignment wrapText="1"/>
    </xf>
    <xf numFmtId="4" fontId="2" fillId="0" borderId="0" xfId="0" applyFont="1" applyFill="1" applyAlignment="1">
      <alignment horizontal="center" vertical="top"/>
    </xf>
    <xf numFmtId="4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Border="1">
      <alignment vertical="top" wrapText="1"/>
    </xf>
    <xf numFmtId="4" fontId="2" fillId="0" borderId="0" xfId="0" applyFont="1" applyFill="1" applyBorder="1" applyAlignment="1">
      <alignment horizontal="center" wrapText="1"/>
    </xf>
    <xf numFmtId="4" fontId="2" fillId="0" borderId="0" xfId="0" quotePrefix="1" applyNumberFormat="1" applyFont="1" applyFill="1" applyBorder="1" applyAlignment="1">
      <alignment wrapText="1"/>
    </xf>
    <xf numFmtId="4" fontId="2" fillId="0" borderId="0" xfId="0" quotePrefix="1" applyFont="1" applyFill="1" applyBorder="1" applyAlignment="1">
      <alignment horizontal="right" wrapText="1"/>
    </xf>
    <xf numFmtId="4" fontId="2" fillId="0" borderId="0" xfId="0" applyFont="1" applyFill="1" applyBorder="1" applyAlignment="1">
      <alignment vertical="top"/>
    </xf>
    <xf numFmtId="4" fontId="10" fillId="0" borderId="1" xfId="0" applyFont="1" applyFill="1" applyBorder="1" applyAlignment="1">
      <alignment vertical="top" wrapText="1"/>
    </xf>
    <xf numFmtId="4" fontId="2" fillId="0" borderId="7" xfId="0" applyNumberFormat="1" applyFont="1" applyFill="1" applyBorder="1" applyAlignment="1">
      <alignment horizontal="right" wrapText="1"/>
    </xf>
    <xf numFmtId="0" fontId="2" fillId="0" borderId="19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wrapText="1"/>
    </xf>
    <xf numFmtId="4" fontId="3" fillId="0" borderId="16" xfId="0" applyNumberFormat="1" applyFont="1" applyFill="1" applyBorder="1" applyAlignment="1"/>
    <xf numFmtId="4" fontId="2" fillId="0" borderId="1" xfId="0" quotePrefix="1" applyFont="1" applyFill="1" applyBorder="1" applyAlignment="1"/>
    <xf numFmtId="4" fontId="2" fillId="0" borderId="6" xfId="0" applyFont="1" applyFill="1" applyBorder="1" applyAlignment="1">
      <alignment horizontal="center" vertical="top"/>
    </xf>
    <xf numFmtId="4" fontId="2" fillId="0" borderId="1" xfId="0" applyFont="1" applyFill="1" applyBorder="1" applyAlignment="1">
      <alignment horizontal="right"/>
    </xf>
    <xf numFmtId="4" fontId="2" fillId="0" borderId="6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/>
    <xf numFmtId="0" fontId="2" fillId="0" borderId="1" xfId="0" quotePrefix="1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wrapText="1"/>
    </xf>
    <xf numFmtId="4" fontId="2" fillId="0" borderId="1" xfId="0" applyFont="1" applyFill="1" applyBorder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3" fontId="2" fillId="0" borderId="1" xfId="0" quotePrefix="1" applyNumberFormat="1" applyFont="1" applyFill="1" applyBorder="1" applyAlignment="1">
      <alignment wrapText="1"/>
    </xf>
    <xf numFmtId="4" fontId="4" fillId="0" borderId="6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/>
    </xf>
    <xf numFmtId="4" fontId="2" fillId="0" borderId="23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4" fontId="3" fillId="0" borderId="15" xfId="0" applyNumberFormat="1" applyFont="1" applyFill="1" applyBorder="1" applyAlignment="1"/>
    <xf numFmtId="4" fontId="3" fillId="0" borderId="17" xfId="0" applyNumberFormat="1" applyFont="1" applyFill="1" applyBorder="1" applyAlignment="1"/>
    <xf numFmtId="4" fontId="2" fillId="0" borderId="0" xfId="0" applyFont="1" applyFill="1" applyBorder="1" applyAlignment="1">
      <alignment horizontal="right"/>
    </xf>
    <xf numFmtId="2" fontId="3" fillId="0" borderId="8" xfId="0" applyNumberFormat="1" applyFont="1" applyFill="1" applyBorder="1" applyAlignment="1">
      <alignment horizontal="center"/>
    </xf>
    <xf numFmtId="4" fontId="3" fillId="0" borderId="24" xfId="0" applyNumberFormat="1" applyFont="1" applyFill="1" applyBorder="1" applyAlignment="1"/>
    <xf numFmtId="4" fontId="2" fillId="0" borderId="11" xfId="0" applyFont="1" applyFill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vertical="top" wrapText="1"/>
    </xf>
    <xf numFmtId="2" fontId="8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26" xfId="0" applyFont="1" applyFill="1" applyBorder="1" applyAlignment="1">
      <alignment vertical="top" wrapText="1"/>
    </xf>
    <xf numFmtId="4" fontId="2" fillId="0" borderId="7" xfId="0" applyFont="1" applyFill="1" applyBorder="1" applyAlignment="1">
      <alignment wrapText="1"/>
    </xf>
    <xf numFmtId="4" fontId="4" fillId="0" borderId="6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6" xfId="0" applyNumberFormat="1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0" xfId="0" applyFont="1" applyFill="1" applyAlignment="1">
      <alignment vertical="top" wrapText="1"/>
    </xf>
    <xf numFmtId="4" fontId="2" fillId="0" borderId="17" xfId="0" applyNumberFormat="1" applyFont="1" applyFill="1" applyBorder="1" applyAlignment="1">
      <alignment horizontal="right" wrapText="1"/>
    </xf>
    <xf numFmtId="4" fontId="2" fillId="0" borderId="21" xfId="0" applyNumberFormat="1" applyFont="1" applyFill="1" applyBorder="1" applyAlignment="1">
      <alignment horizontal="right" wrapText="1"/>
    </xf>
    <xf numFmtId="2" fontId="3" fillId="0" borderId="15" xfId="0" applyNumberFormat="1" applyFont="1" applyFill="1" applyBorder="1" applyAlignment="1"/>
    <xf numFmtId="4" fontId="2" fillId="0" borderId="0" xfId="0" applyFont="1" applyFill="1" applyBorder="1" applyAlignment="1">
      <alignment horizontal="center" vertical="top"/>
    </xf>
    <xf numFmtId="0" fontId="2" fillId="0" borderId="0" xfId="0" quotePrefix="1" applyNumberFormat="1" applyFont="1" applyFill="1" applyBorder="1" applyAlignment="1">
      <alignment wrapText="1"/>
    </xf>
    <xf numFmtId="0" fontId="3" fillId="0" borderId="6" xfId="0" applyNumberFormat="1" applyFont="1" applyFill="1" applyBorder="1" applyAlignment="1">
      <alignment horizontal="center" vertical="top"/>
    </xf>
    <xf numFmtId="0" fontId="0" fillId="0" borderId="1" xfId="0" applyNumberFormat="1" applyFont="1" applyFill="1" applyBorder="1" applyAlignment="1">
      <alignment horizontal="center"/>
    </xf>
    <xf numFmtId="4" fontId="0" fillId="0" borderId="1" xfId="0" quotePrefix="1" applyNumberFormat="1" applyFont="1" applyFill="1" applyBorder="1" applyAlignment="1">
      <alignment horizontal="right" vertical="center"/>
    </xf>
    <xf numFmtId="4" fontId="0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 vertical="top"/>
    </xf>
    <xf numFmtId="0" fontId="4" fillId="0" borderId="18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4" fontId="8" fillId="0" borderId="0" xfId="0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/>
    <xf numFmtId="4" fontId="8" fillId="0" borderId="7" xfId="0" applyNumberFormat="1" applyFont="1" applyFill="1" applyBorder="1" applyAlignment="1"/>
    <xf numFmtId="4" fontId="2" fillId="0" borderId="27" xfId="0" applyFont="1" applyFill="1" applyBorder="1" applyAlignment="1">
      <alignment vertical="top" wrapText="1"/>
    </xf>
    <xf numFmtId="0" fontId="0" fillId="0" borderId="0" xfId="0" applyNumberFormat="1" applyFont="1" applyFill="1" applyBorder="1" applyAlignment="1">
      <alignment horizontal="left" vertical="top" wrapText="1"/>
    </xf>
    <xf numFmtId="4" fontId="2" fillId="0" borderId="28" xfId="0" applyNumberFormat="1" applyFont="1" applyFill="1" applyBorder="1" applyAlignment="1">
      <alignment wrapText="1"/>
    </xf>
    <xf numFmtId="4" fontId="2" fillId="0" borderId="28" xfId="0" applyFont="1" applyFill="1" applyBorder="1" applyAlignment="1">
      <alignment horizontal="center" vertical="top" wrapText="1"/>
    </xf>
    <xf numFmtId="4" fontId="2" fillId="0" borderId="28" xfId="0" applyNumberFormat="1" applyFont="1" applyFill="1" applyBorder="1" applyAlignment="1">
      <alignment vertical="top" wrapText="1"/>
    </xf>
    <xf numFmtId="4" fontId="2" fillId="0" borderId="28" xfId="0" quotePrefix="1" applyNumberFormat="1" applyFont="1" applyFill="1" applyBorder="1" applyAlignment="1">
      <alignment wrapText="1"/>
    </xf>
    <xf numFmtId="4" fontId="2" fillId="0" borderId="0" xfId="0" applyFont="1" applyFill="1" applyBorder="1" applyAlignment="1">
      <alignment horizontal="center"/>
    </xf>
    <xf numFmtId="4" fontId="2" fillId="0" borderId="27" xfId="0" applyFont="1" applyFill="1" applyBorder="1" applyAlignment="1">
      <alignment wrapText="1"/>
    </xf>
    <xf numFmtId="0" fontId="2" fillId="0" borderId="27" xfId="0" applyNumberFormat="1" applyFont="1" applyFill="1" applyBorder="1" applyAlignment="1">
      <alignment wrapText="1"/>
    </xf>
    <xf numFmtId="4" fontId="2" fillId="0" borderId="33" xfId="0" applyFont="1" applyFill="1" applyBorder="1" applyAlignment="1">
      <alignment horizontal="center" vertical="center" wrapText="1"/>
    </xf>
    <xf numFmtId="4" fontId="2" fillId="0" borderId="35" xfId="0" applyFont="1" applyFill="1" applyBorder="1" applyAlignment="1">
      <alignment vertical="top" wrapText="1"/>
    </xf>
    <xf numFmtId="4" fontId="2" fillId="0" borderId="36" xfId="0" applyFont="1" applyFill="1" applyBorder="1" applyAlignment="1">
      <alignment vertical="top" wrapText="1"/>
    </xf>
    <xf numFmtId="4" fontId="2" fillId="0" borderId="33" xfId="0" applyFont="1" applyFill="1" applyBorder="1" applyAlignment="1">
      <alignment vertical="top" wrapText="1"/>
    </xf>
    <xf numFmtId="4" fontId="2" fillId="0" borderId="36" xfId="0" applyNumberFormat="1" applyFont="1" applyFill="1" applyBorder="1" applyAlignment="1">
      <alignment wrapText="1"/>
    </xf>
    <xf numFmtId="4" fontId="4" fillId="0" borderId="33" xfId="0" applyFont="1" applyFill="1" applyBorder="1" applyAlignment="1">
      <alignment horizontal="center" vertical="center" wrapText="1"/>
    </xf>
    <xf numFmtId="4" fontId="2" fillId="0" borderId="35" xfId="0" applyNumberFormat="1" applyFont="1" applyFill="1" applyBorder="1">
      <alignment vertical="top" wrapText="1"/>
    </xf>
    <xf numFmtId="4" fontId="2" fillId="0" borderId="35" xfId="0" applyFont="1" applyFill="1" applyBorder="1" applyAlignment="1">
      <alignment horizontal="center" vertical="top" wrapText="1"/>
    </xf>
    <xf numFmtId="4" fontId="2" fillId="0" borderId="35" xfId="0" applyFont="1" applyFill="1" applyBorder="1" applyAlignment="1">
      <alignment wrapText="1"/>
    </xf>
    <xf numFmtId="4" fontId="2" fillId="0" borderId="33" xfId="0" applyFont="1" applyFill="1" applyBorder="1" applyAlignment="1">
      <alignment horizontal="center" vertical="top" wrapText="1"/>
    </xf>
    <xf numFmtId="4" fontId="2" fillId="0" borderId="35" xfId="0" applyFont="1" applyFill="1" applyBorder="1" applyAlignment="1">
      <alignment horizontal="center"/>
    </xf>
    <xf numFmtId="4" fontId="2" fillId="0" borderId="35" xfId="0" applyFont="1" applyFill="1" applyBorder="1" applyAlignment="1">
      <alignment horizontal="right"/>
    </xf>
    <xf numFmtId="4" fontId="2" fillId="0" borderId="35" xfId="0" applyNumberFormat="1" applyFont="1" applyFill="1" applyBorder="1" applyAlignment="1">
      <alignment wrapText="1"/>
    </xf>
    <xf numFmtId="4" fontId="2" fillId="0" borderId="35" xfId="0" applyFont="1" applyFill="1" applyBorder="1" applyAlignment="1">
      <alignment horizontal="center" wrapText="1"/>
    </xf>
    <xf numFmtId="4" fontId="2" fillId="0" borderId="35" xfId="0" quotePrefix="1" applyFont="1" applyFill="1" applyBorder="1" applyAlignment="1">
      <alignment horizontal="right" wrapText="1"/>
    </xf>
    <xf numFmtId="4" fontId="2" fillId="0" borderId="35" xfId="0" applyNumberFormat="1" applyFont="1" applyFill="1" applyBorder="1" applyAlignment="1">
      <alignment horizontal="right" wrapText="1"/>
    </xf>
    <xf numFmtId="4" fontId="2" fillId="0" borderId="36" xfId="0" applyNumberFormat="1" applyFont="1" applyFill="1" applyBorder="1" applyAlignment="1">
      <alignment horizontal="right"/>
    </xf>
    <xf numFmtId="4" fontId="2" fillId="0" borderId="36" xfId="0" applyNumberFormat="1" applyFont="1" applyFill="1" applyBorder="1" applyAlignment="1"/>
    <xf numFmtId="4" fontId="4" fillId="0" borderId="33" xfId="0" applyFont="1" applyFill="1" applyBorder="1" applyAlignment="1">
      <alignment horizontal="center" vertical="top" wrapText="1"/>
    </xf>
    <xf numFmtId="0" fontId="2" fillId="0" borderId="33" xfId="0" applyNumberFormat="1" applyFont="1" applyFill="1" applyBorder="1" applyAlignment="1">
      <alignment horizontal="center" vertical="top"/>
    </xf>
    <xf numFmtId="4" fontId="2" fillId="0" borderId="35" xfId="0" applyNumberFormat="1" applyFont="1" applyFill="1" applyBorder="1" applyAlignment="1"/>
    <xf numFmtId="4" fontId="2" fillId="0" borderId="33" xfId="0" applyFont="1" applyFill="1" applyBorder="1" applyAlignment="1">
      <alignment horizontal="center" vertical="top"/>
    </xf>
    <xf numFmtId="0" fontId="0" fillId="0" borderId="37" xfId="0" applyNumberFormat="1" applyFont="1" applyFill="1" applyBorder="1" applyAlignment="1">
      <alignment horizontal="left" vertical="top" wrapText="1"/>
    </xf>
    <xf numFmtId="4" fontId="4" fillId="0" borderId="33" xfId="0" applyFont="1" applyFill="1" applyBorder="1" applyAlignment="1">
      <alignment horizontal="center" vertical="top"/>
    </xf>
    <xf numFmtId="4" fontId="2" fillId="0" borderId="37" xfId="0" applyFont="1" applyFill="1" applyBorder="1" applyAlignment="1">
      <alignment wrapText="1"/>
    </xf>
    <xf numFmtId="4" fontId="2" fillId="0" borderId="35" xfId="0" quotePrefix="1" applyFont="1" applyFill="1" applyBorder="1" applyAlignment="1">
      <alignment wrapText="1"/>
    </xf>
    <xf numFmtId="0" fontId="2" fillId="0" borderId="35" xfId="0" applyNumberFormat="1" applyFont="1" applyFill="1" applyBorder="1" applyAlignment="1">
      <alignment horizontal="center"/>
    </xf>
    <xf numFmtId="4" fontId="2" fillId="0" borderId="35" xfId="0" quotePrefix="1" applyFont="1" applyFill="1" applyBorder="1" applyAlignment="1">
      <alignment vertical="top" wrapText="1"/>
    </xf>
    <xf numFmtId="4" fontId="3" fillId="0" borderId="30" xfId="0" applyNumberFormat="1" applyFont="1" applyFill="1" applyBorder="1" applyAlignment="1">
      <alignment horizontal="left"/>
    </xf>
    <xf numFmtId="4" fontId="2" fillId="0" borderId="38" xfId="0" quotePrefix="1" applyFont="1" applyFill="1" applyBorder="1" applyAlignment="1">
      <alignment wrapText="1"/>
    </xf>
    <xf numFmtId="4" fontId="2" fillId="0" borderId="38" xfId="0" applyFont="1" applyFill="1" applyBorder="1" applyAlignment="1">
      <alignment wrapText="1"/>
    </xf>
    <xf numFmtId="0" fontId="2" fillId="0" borderId="38" xfId="0" applyNumberFormat="1" applyFont="1" applyFill="1" applyBorder="1" applyAlignment="1">
      <alignment wrapText="1"/>
    </xf>
    <xf numFmtId="4" fontId="2" fillId="0" borderId="38" xfId="0" applyFont="1" applyFill="1" applyBorder="1" applyAlignment="1">
      <alignment vertical="top" wrapText="1"/>
    </xf>
    <xf numFmtId="4" fontId="2" fillId="0" borderId="38" xfId="0" applyNumberFormat="1" applyFont="1" applyFill="1" applyBorder="1" applyAlignment="1"/>
    <xf numFmtId="4" fontId="0" fillId="0" borderId="0" xfId="0" applyFont="1" applyFill="1" applyBorder="1" applyAlignment="1">
      <alignment horizontal="left" vertical="top" wrapText="1"/>
    </xf>
    <xf numFmtId="4" fontId="2" fillId="0" borderId="0" xfId="0" applyFont="1" applyFill="1" applyBorder="1" applyAlignment="1">
      <alignment horizontal="justify" vertical="top" wrapText="1"/>
    </xf>
    <xf numFmtId="4" fontId="2" fillId="0" borderId="0" xfId="0" applyFont="1" applyFill="1" applyBorder="1" applyAlignment="1">
      <alignment horizontal="justify" wrapText="1"/>
    </xf>
    <xf numFmtId="4" fontId="2" fillId="0" borderId="0" xfId="0" applyFont="1" applyFill="1" applyBorder="1">
      <alignment vertical="top" wrapText="1"/>
    </xf>
    <xf numFmtId="4" fontId="3" fillId="0" borderId="38" xfId="0" applyNumberFormat="1" applyFont="1" applyFill="1" applyBorder="1" applyAlignment="1">
      <alignment horizontal="left" vertical="top"/>
    </xf>
    <xf numFmtId="4" fontId="2" fillId="0" borderId="38" xfId="0" applyFont="1" applyFill="1" applyBorder="1" applyAlignment="1">
      <alignment horizontal="left" wrapText="1"/>
    </xf>
    <xf numFmtId="4" fontId="3" fillId="0" borderId="7" xfId="0" applyNumberFormat="1" applyFont="1" applyFill="1" applyBorder="1" applyAlignment="1">
      <alignment horizontal="right"/>
    </xf>
    <xf numFmtId="4" fontId="2" fillId="0" borderId="41" xfId="0" applyNumberFormat="1" applyFont="1" applyFill="1" applyBorder="1" applyAlignment="1">
      <alignment horizontal="right"/>
    </xf>
    <xf numFmtId="4" fontId="2" fillId="0" borderId="38" xfId="0" applyNumberFormat="1" applyFont="1" applyFill="1" applyBorder="1" applyAlignment="1">
      <alignment wrapText="1"/>
    </xf>
    <xf numFmtId="4" fontId="2" fillId="0" borderId="38" xfId="0" applyNumberFormat="1" applyFont="1" applyFill="1" applyBorder="1" applyAlignment="1">
      <alignment vertical="top" wrapText="1"/>
    </xf>
    <xf numFmtId="4" fontId="2" fillId="0" borderId="7" xfId="0" applyNumberFormat="1" applyFont="1" applyFill="1" applyBorder="1">
      <alignment vertical="top" wrapText="1"/>
    </xf>
    <xf numFmtId="4" fontId="0" fillId="0" borderId="7" xfId="0" applyNumberFormat="1" applyFont="1" applyFill="1" applyBorder="1" applyAlignment="1">
      <alignment horizontal="right"/>
    </xf>
    <xf numFmtId="4" fontId="2" fillId="0" borderId="0" xfId="0" quotePrefix="1" applyFont="1" applyFill="1" applyBorder="1">
      <alignment vertical="top" wrapText="1"/>
    </xf>
    <xf numFmtId="4" fontId="2" fillId="0" borderId="7" xfId="0" applyNumberFormat="1" applyFont="1" applyFill="1" applyBorder="1" applyAlignment="1">
      <alignment horizontal="right" vertical="center"/>
    </xf>
    <xf numFmtId="4" fontId="2" fillId="0" borderId="42" xfId="0" applyFont="1" applyFill="1" applyBorder="1" applyAlignment="1">
      <alignment vertical="top" wrapText="1"/>
    </xf>
    <xf numFmtId="4" fontId="2" fillId="0" borderId="43" xfId="0" applyFont="1" applyFill="1" applyBorder="1" applyAlignment="1">
      <alignment vertical="top" wrapText="1"/>
    </xf>
    <xf numFmtId="4" fontId="2" fillId="0" borderId="43" xfId="0" applyNumberFormat="1" applyFont="1" applyFill="1" applyBorder="1" applyAlignment="1"/>
    <xf numFmtId="4" fontId="2" fillId="0" borderId="40" xfId="0" applyFont="1" applyFill="1" applyBorder="1" applyAlignment="1">
      <alignment vertical="top" wrapText="1"/>
    </xf>
    <xf numFmtId="4" fontId="2" fillId="0" borderId="42" xfId="0" applyFont="1" applyFill="1" applyBorder="1" applyAlignment="1">
      <alignment horizontal="center" vertical="top" wrapText="1"/>
    </xf>
    <xf numFmtId="4" fontId="8" fillId="0" borderId="0" xfId="0" applyFont="1" applyFill="1" applyBorder="1" applyAlignment="1">
      <alignment horizontal="center" vertical="center" wrapText="1"/>
    </xf>
    <xf numFmtId="4" fontId="8" fillId="0" borderId="0" xfId="0" applyFont="1" applyFill="1" applyBorder="1" applyAlignment="1">
      <alignment vertical="top" wrapText="1"/>
    </xf>
    <xf numFmtId="4" fontId="2" fillId="0" borderId="40" xfId="0" applyFont="1" applyFill="1" applyBorder="1" applyAlignment="1">
      <alignment horizontal="center" wrapText="1"/>
    </xf>
    <xf numFmtId="4" fontId="2" fillId="0" borderId="40" xfId="0" applyFont="1" applyFill="1" applyBorder="1" applyAlignment="1">
      <alignment wrapText="1"/>
    </xf>
    <xf numFmtId="4" fontId="2" fillId="0" borderId="40" xfId="0" quotePrefix="1" applyFont="1" applyFill="1" applyBorder="1" applyAlignment="1">
      <alignment horizontal="right" wrapText="1"/>
    </xf>
    <xf numFmtId="4" fontId="2" fillId="0" borderId="40" xfId="0" applyNumberFormat="1" applyFont="1" applyFill="1" applyBorder="1" applyAlignment="1">
      <alignment horizontal="right" wrapText="1"/>
    </xf>
    <xf numFmtId="4" fontId="2" fillId="0" borderId="40" xfId="0" quotePrefix="1" applyNumberFormat="1" applyFont="1" applyFill="1" applyBorder="1" applyAlignment="1">
      <alignment wrapText="1"/>
    </xf>
    <xf numFmtId="4" fontId="2" fillId="0" borderId="40" xfId="0" quotePrefix="1" applyFont="1" applyFill="1" applyBorder="1" applyAlignment="1">
      <alignment vertical="top" wrapText="1"/>
    </xf>
    <xf numFmtId="0" fontId="2" fillId="0" borderId="40" xfId="0" applyNumberFormat="1" applyFont="1" applyFill="1" applyBorder="1" applyAlignment="1">
      <alignment wrapText="1"/>
    </xf>
    <xf numFmtId="4" fontId="2" fillId="0" borderId="40" xfId="0" applyNumberFormat="1" applyFont="1" applyFill="1" applyBorder="1" applyAlignment="1"/>
    <xf numFmtId="4" fontId="9" fillId="0" borderId="42" xfId="0" applyFont="1" applyFill="1" applyBorder="1" applyAlignment="1">
      <alignment horizontal="center" vertical="top" wrapText="1"/>
    </xf>
    <xf numFmtId="0" fontId="2" fillId="0" borderId="40" xfId="0" applyNumberFormat="1" applyFont="1" applyFill="1" applyBorder="1" applyAlignment="1">
      <alignment horizontal="center"/>
    </xf>
    <xf numFmtId="4" fontId="2" fillId="0" borderId="40" xfId="0" applyNumberFormat="1" applyFont="1" applyFill="1" applyBorder="1" applyAlignment="1">
      <alignment horizontal="left" wrapText="1"/>
    </xf>
    <xf numFmtId="4" fontId="2" fillId="0" borderId="42" xfId="0" applyFont="1" applyFill="1" applyBorder="1" applyAlignment="1">
      <alignment horizontal="center" vertical="top"/>
    </xf>
    <xf numFmtId="4" fontId="2" fillId="0" borderId="40" xfId="0" applyFont="1" applyFill="1" applyBorder="1" applyAlignment="1">
      <alignment horizontal="center"/>
    </xf>
    <xf numFmtId="4" fontId="2" fillId="0" borderId="40" xfId="0" applyFont="1" applyFill="1" applyBorder="1" applyAlignment="1">
      <alignment horizontal="right"/>
    </xf>
    <xf numFmtId="4" fontId="2" fillId="0" borderId="43" xfId="0" applyNumberFormat="1" applyFont="1" applyFill="1" applyBorder="1" applyAlignment="1">
      <alignment horizontal="right" wrapText="1"/>
    </xf>
    <xf numFmtId="4" fontId="2" fillId="0" borderId="42" xfId="0" applyFont="1" applyFill="1" applyBorder="1" applyAlignment="1">
      <alignment horizontal="center"/>
    </xf>
    <xf numFmtId="4" fontId="2" fillId="0" borderId="38" xfId="0" applyFont="1" applyFill="1" applyBorder="1" applyAlignment="1"/>
    <xf numFmtId="4" fontId="2" fillId="0" borderId="40" xfId="0" applyFont="1" applyFill="1" applyBorder="1" applyAlignment="1"/>
    <xf numFmtId="4" fontId="2" fillId="0" borderId="26" xfId="0" applyNumberFormat="1" applyFont="1" applyFill="1" applyBorder="1" applyAlignment="1"/>
    <xf numFmtId="4" fontId="2" fillId="0" borderId="0" xfId="0" applyFont="1" applyFill="1" applyBorder="1" applyAlignment="1">
      <alignment vertical="center" wrapText="1"/>
    </xf>
    <xf numFmtId="4" fontId="2" fillId="0" borderId="41" xfId="0" applyNumberFormat="1" applyFont="1" applyFill="1" applyBorder="1" applyAlignment="1"/>
    <xf numFmtId="4" fontId="2" fillId="0" borderId="7" xfId="0" quotePrefix="1" applyNumberFormat="1" applyFont="1" applyFill="1" applyBorder="1" applyAlignment="1">
      <alignment vertical="center"/>
    </xf>
    <xf numFmtId="0" fontId="1" fillId="0" borderId="17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4" fontId="2" fillId="0" borderId="44" xfId="0" applyNumberFormat="1" applyFont="1" applyFill="1" applyBorder="1" applyAlignment="1">
      <alignment horizontal="right" wrapText="1"/>
    </xf>
    <xf numFmtId="4" fontId="2" fillId="0" borderId="35" xfId="0" applyNumberFormat="1" applyFont="1" applyFill="1" applyBorder="1" applyAlignment="1">
      <alignment horizontal="left" vertical="top" wrapText="1"/>
    </xf>
    <xf numFmtId="3" fontId="2" fillId="0" borderId="35" xfId="0" quotePrefix="1" applyNumberFormat="1" applyFont="1" applyFill="1" applyBorder="1" applyAlignment="1">
      <alignment wrapText="1"/>
    </xf>
    <xf numFmtId="0" fontId="2" fillId="0" borderId="33" xfId="0" applyNumberFormat="1" applyFont="1" applyFill="1" applyBorder="1" applyAlignment="1">
      <alignment horizontal="center"/>
    </xf>
    <xf numFmtId="4" fontId="3" fillId="0" borderId="6" xfId="0" applyFont="1" applyFill="1" applyBorder="1" applyAlignment="1">
      <alignment horizontal="center" vertical="center" wrapText="1"/>
    </xf>
    <xf numFmtId="0" fontId="2" fillId="0" borderId="35" xfId="0" applyNumberFormat="1" applyFont="1" applyFill="1" applyBorder="1" applyAlignment="1">
      <alignment horizontal="center" wrapText="1"/>
    </xf>
    <xf numFmtId="3" fontId="2" fillId="0" borderId="35" xfId="0" applyNumberFormat="1" applyFont="1" applyFill="1" applyBorder="1" applyAlignment="1"/>
    <xf numFmtId="4" fontId="2" fillId="0" borderId="34" xfId="0" applyNumberFormat="1" applyFont="1" applyFill="1" applyBorder="1" applyAlignment="1">
      <alignment wrapText="1"/>
    </xf>
    <xf numFmtId="0" fontId="2" fillId="0" borderId="33" xfId="0" applyNumberFormat="1" applyFont="1" applyFill="1" applyBorder="1" applyAlignment="1">
      <alignment wrapText="1"/>
    </xf>
    <xf numFmtId="4" fontId="2" fillId="0" borderId="35" xfId="0" quotePrefix="1" applyNumberFormat="1" applyFont="1" applyFill="1" applyBorder="1" applyAlignment="1">
      <alignment horizontal="right" wrapText="1"/>
    </xf>
    <xf numFmtId="4" fontId="2" fillId="0" borderId="35" xfId="0" applyNumberFormat="1" applyFont="1" applyFill="1" applyBorder="1" applyAlignment="1">
      <alignment vertical="top" wrapText="1"/>
    </xf>
    <xf numFmtId="4" fontId="2" fillId="0" borderId="35" xfId="0" applyNumberFormat="1" applyFont="1" applyFill="1" applyBorder="1" applyAlignment="1">
      <alignment horizontal="right" vertical="center"/>
    </xf>
    <xf numFmtId="0" fontId="4" fillId="0" borderId="33" xfId="0" applyNumberFormat="1" applyFont="1" applyFill="1" applyBorder="1" applyAlignment="1">
      <alignment horizontal="center"/>
    </xf>
    <xf numFmtId="4" fontId="2" fillId="0" borderId="35" xfId="0" quotePrefix="1" applyNumberFormat="1" applyFont="1" applyFill="1" applyBorder="1" applyAlignment="1">
      <alignment wrapText="1"/>
    </xf>
    <xf numFmtId="4" fontId="2" fillId="0" borderId="34" xfId="0" applyFont="1" applyFill="1" applyBorder="1" applyAlignment="1">
      <alignment wrapText="1"/>
    </xf>
    <xf numFmtId="0" fontId="2" fillId="0" borderId="33" xfId="0" applyNumberFormat="1" applyFont="1" applyFill="1" applyBorder="1" applyAlignment="1">
      <alignment horizontal="right" vertical="center"/>
    </xf>
    <xf numFmtId="4" fontId="2" fillId="0" borderId="36" xfId="0" applyNumberFormat="1" applyFont="1" applyFill="1" applyBorder="1" applyAlignment="1">
      <alignment horizontal="right" vertical="center"/>
    </xf>
    <xf numFmtId="4" fontId="2" fillId="0" borderId="45" xfId="0" applyFont="1" applyFill="1" applyBorder="1" applyAlignment="1">
      <alignment vertical="top" wrapText="1"/>
    </xf>
    <xf numFmtId="4" fontId="2" fillId="0" borderId="45" xfId="0" applyFont="1" applyFill="1" applyBorder="1" applyAlignment="1">
      <alignment horizontal="center"/>
    </xf>
    <xf numFmtId="4" fontId="2" fillId="0" borderId="34" xfId="0" applyFont="1" applyFill="1" applyBorder="1" applyAlignment="1"/>
    <xf numFmtId="4" fontId="2" fillId="0" borderId="46" xfId="0" applyFont="1" applyFill="1" applyBorder="1" applyAlignment="1">
      <alignment horizontal="center"/>
    </xf>
    <xf numFmtId="4" fontId="2" fillId="0" borderId="46" xfId="0" applyFont="1" applyFill="1" applyBorder="1" applyAlignment="1">
      <alignment horizontal="right"/>
    </xf>
    <xf numFmtId="4" fontId="2" fillId="0" borderId="47" xfId="0" applyNumberFormat="1" applyFont="1" applyFill="1" applyBorder="1" applyAlignment="1">
      <alignment horizontal="right" wrapText="1"/>
    </xf>
    <xf numFmtId="4" fontId="2" fillId="0" borderId="0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/>
    <xf numFmtId="0" fontId="2" fillId="0" borderId="35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4" fontId="2" fillId="0" borderId="35" xfId="0" quotePrefix="1" applyNumberFormat="1" applyFont="1" applyFill="1" applyBorder="1">
      <alignment vertical="top" wrapText="1"/>
    </xf>
    <xf numFmtId="4" fontId="2" fillId="0" borderId="35" xfId="0" applyNumberFormat="1" applyFont="1" applyFill="1" applyBorder="1" applyAlignment="1">
      <alignment horizontal="right"/>
    </xf>
    <xf numFmtId="4" fontId="2" fillId="0" borderId="0" xfId="0" applyFont="1" applyFill="1" applyBorder="1" applyAlignment="1"/>
    <xf numFmtId="2" fontId="3" fillId="0" borderId="0" xfId="0" applyNumberFormat="1" applyFont="1" applyFill="1" applyBorder="1" applyAlignment="1"/>
    <xf numFmtId="4" fontId="10" fillId="0" borderId="1" xfId="0" quotePrefix="1" applyFont="1" applyFill="1" applyBorder="1" applyAlignment="1">
      <alignment vertical="top" wrapText="1"/>
    </xf>
    <xf numFmtId="4" fontId="2" fillId="0" borderId="37" xfId="0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center" vertical="top" wrapText="1"/>
    </xf>
    <xf numFmtId="3" fontId="2" fillId="0" borderId="1" xfId="0" quotePrefix="1" applyNumberFormat="1" applyFont="1" applyFill="1" applyBorder="1" applyAlignment="1">
      <alignment horizontal="center" wrapText="1"/>
    </xf>
    <xf numFmtId="4" fontId="2" fillId="0" borderId="25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left"/>
    </xf>
    <xf numFmtId="4" fontId="2" fillId="0" borderId="38" xfId="0" applyNumberFormat="1" applyFont="1" applyFill="1" applyBorder="1" applyAlignment="1">
      <alignment horizontal="left" vertical="top" wrapText="1"/>
    </xf>
    <xf numFmtId="4" fontId="2" fillId="0" borderId="0" xfId="0" applyFont="1" applyFill="1" applyBorder="1" applyAlignment="1">
      <alignment horizontal="left" wrapText="1"/>
    </xf>
    <xf numFmtId="4" fontId="0" fillId="0" borderId="1" xfId="0" applyFont="1" applyFill="1" applyBorder="1" applyAlignment="1">
      <alignment wrapText="1"/>
    </xf>
    <xf numFmtId="4" fontId="0" fillId="0" borderId="1" xfId="0" applyNumberFormat="1" applyFont="1" applyFill="1" applyBorder="1" applyAlignment="1">
      <alignment wrapText="1"/>
    </xf>
    <xf numFmtId="4" fontId="0" fillId="0" borderId="1" xfId="0" applyFont="1" applyFill="1" applyBorder="1" applyAlignment="1">
      <alignment vertical="top" wrapText="1"/>
    </xf>
    <xf numFmtId="4" fontId="0" fillId="0" borderId="1" xfId="0" applyFont="1" applyFill="1" applyBorder="1" applyAlignment="1">
      <alignment horizontal="center" vertical="top" wrapText="1"/>
    </xf>
    <xf numFmtId="4" fontId="0" fillId="0" borderId="1" xfId="0" quotePrefix="1" applyFont="1" applyFill="1" applyBorder="1" applyAlignment="1">
      <alignment wrapText="1"/>
    </xf>
    <xf numFmtId="4" fontId="2" fillId="0" borderId="40" xfId="0" applyNumberFormat="1" applyFont="1" applyFill="1" applyBorder="1" applyAlignment="1">
      <alignment wrapText="1"/>
    </xf>
    <xf numFmtId="4" fontId="2" fillId="0" borderId="40" xfId="0" quotePrefix="1" applyFont="1" applyFill="1" applyBorder="1" applyAlignment="1">
      <alignment wrapText="1"/>
    </xf>
    <xf numFmtId="4" fontId="2" fillId="0" borderId="27" xfId="0" applyNumberFormat="1" applyFont="1" applyFill="1" applyBorder="1" applyAlignment="1"/>
    <xf numFmtId="4" fontId="2" fillId="0" borderId="0" xfId="0" quotePrefix="1" applyFont="1" applyFill="1" applyBorder="1" applyAlignment="1"/>
    <xf numFmtId="2" fontId="2" fillId="0" borderId="0" xfId="0" quotePrefix="1" applyNumberFormat="1" applyFont="1" applyFill="1" applyBorder="1" applyAlignment="1"/>
    <xf numFmtId="0" fontId="2" fillId="0" borderId="35" xfId="0" applyNumberFormat="1" applyFont="1" applyFill="1" applyBorder="1" applyAlignment="1">
      <alignment wrapText="1"/>
    </xf>
    <xf numFmtId="4" fontId="10" fillId="0" borderId="0" xfId="0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right" wrapText="1"/>
    </xf>
    <xf numFmtId="4" fontId="10" fillId="0" borderId="0" xfId="0" applyFont="1" applyFill="1" applyBorder="1" applyAlignment="1">
      <alignment wrapText="1"/>
    </xf>
    <xf numFmtId="4" fontId="10" fillId="0" borderId="0" xfId="0" applyFont="1" applyFill="1" applyBorder="1" applyAlignment="1">
      <alignment horizontal="center" wrapText="1"/>
    </xf>
    <xf numFmtId="4" fontId="10" fillId="0" borderId="0" xfId="0" quotePrefix="1" applyFont="1" applyFill="1" applyBorder="1" applyAlignment="1">
      <alignment wrapText="1"/>
    </xf>
    <xf numFmtId="4" fontId="10" fillId="0" borderId="0" xfId="0" quotePrefix="1" applyFont="1" applyFill="1" applyBorder="1" applyAlignment="1">
      <alignment vertical="top" wrapText="1"/>
    </xf>
    <xf numFmtId="4" fontId="2" fillId="0" borderId="35" xfId="0" applyNumberFormat="1" applyFont="1" applyFill="1" applyBorder="1" applyAlignment="1">
      <alignment vertical="center" wrapText="1"/>
    </xf>
    <xf numFmtId="4" fontId="2" fillId="0" borderId="35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35" xfId="0" quotePrefix="1" applyNumberFormat="1" applyFont="1" applyFill="1" applyBorder="1" applyAlignment="1"/>
    <xf numFmtId="4" fontId="2" fillId="0" borderId="39" xfId="0" quotePrefix="1" applyFont="1" applyFill="1" applyBorder="1" applyAlignment="1">
      <alignment vertical="top" wrapText="1"/>
    </xf>
    <xf numFmtId="4" fontId="2" fillId="0" borderId="37" xfId="0" quotePrefix="1" applyFont="1" applyFill="1" applyBorder="1" applyAlignment="1">
      <alignment wrapText="1"/>
    </xf>
    <xf numFmtId="0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center"/>
    </xf>
    <xf numFmtId="4" fontId="2" fillId="0" borderId="38" xfId="0" quotePrefix="1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wrapText="1"/>
    </xf>
    <xf numFmtId="0" fontId="2" fillId="0" borderId="35" xfId="0" applyNumberFormat="1" applyFont="1" applyFill="1" applyBorder="1" applyAlignment="1"/>
    <xf numFmtId="3" fontId="2" fillId="0" borderId="35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wrapText="1"/>
    </xf>
    <xf numFmtId="3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left"/>
    </xf>
    <xf numFmtId="3" fontId="2" fillId="0" borderId="35" xfId="0" quotePrefix="1" applyNumberFormat="1" applyFont="1" applyFill="1" applyBorder="1" applyAlignment="1"/>
    <xf numFmtId="4" fontId="2" fillId="0" borderId="35" xfId="0" applyNumberFormat="1" applyFont="1" applyFill="1" applyBorder="1" applyAlignment="1">
      <alignment horizontal="left" wrapText="1"/>
    </xf>
    <xf numFmtId="3" fontId="2" fillId="0" borderId="35" xfId="0" applyNumberFormat="1" applyFont="1" applyFill="1" applyBorder="1" applyAlignment="1">
      <alignment vertical="top" wrapText="1"/>
    </xf>
    <xf numFmtId="4" fontId="2" fillId="0" borderId="35" xfId="0" quotePrefix="1" applyNumberFormat="1" applyFont="1" applyFill="1" applyBorder="1" applyAlignment="1">
      <alignment horizontal="left" vertical="top" wrapText="1"/>
    </xf>
    <xf numFmtId="4" fontId="2" fillId="0" borderId="35" xfId="0" quotePrefix="1" applyNumberFormat="1" applyFont="1" applyFill="1" applyBorder="1" applyAlignment="1">
      <alignment horizontal="right" vertical="top" wrapText="1"/>
    </xf>
    <xf numFmtId="4" fontId="2" fillId="0" borderId="29" xfId="0" applyFont="1" applyFill="1" applyBorder="1" applyAlignment="1">
      <alignment wrapText="1"/>
    </xf>
    <xf numFmtId="4" fontId="2" fillId="0" borderId="28" xfId="0" applyFont="1" applyFill="1" applyBorder="1" applyAlignment="1">
      <alignment wrapText="1"/>
    </xf>
    <xf numFmtId="0" fontId="2" fillId="0" borderId="28" xfId="0" applyNumberFormat="1" applyFont="1" applyFill="1" applyBorder="1" applyAlignment="1">
      <alignment wrapText="1"/>
    </xf>
    <xf numFmtId="0" fontId="2" fillId="0" borderId="35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left"/>
    </xf>
    <xf numFmtId="4" fontId="2" fillId="0" borderId="23" xfId="0" applyNumberFormat="1" applyFont="1" applyFill="1" applyBorder="1" applyAlignment="1">
      <alignment wrapText="1"/>
    </xf>
    <xf numFmtId="4" fontId="2" fillId="0" borderId="32" xfId="3" applyFont="1" applyFill="1" applyBorder="1" applyAlignment="1">
      <alignment vertical="top" wrapText="1"/>
    </xf>
    <xf numFmtId="0" fontId="2" fillId="0" borderId="0" xfId="0" applyNumberFormat="1" applyFont="1" applyFill="1" applyBorder="1" applyAlignment="1"/>
    <xf numFmtId="4" fontId="2" fillId="0" borderId="0" xfId="0" quotePrefix="1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left" vertical="center" wrapText="1"/>
    </xf>
    <xf numFmtId="3" fontId="2" fillId="0" borderId="35" xfId="0" applyNumberFormat="1" applyFont="1" applyFill="1" applyBorder="1" applyAlignment="1">
      <alignment horizontal="left" vertical="center"/>
    </xf>
    <xf numFmtId="4" fontId="2" fillId="0" borderId="35" xfId="0" quotePrefix="1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/>
    </xf>
    <xf numFmtId="0" fontId="2" fillId="0" borderId="35" xfId="0" applyNumberFormat="1" applyFont="1" applyFill="1" applyBorder="1" applyAlignment="1">
      <alignment horizontal="center" vertical="center"/>
    </xf>
    <xf numFmtId="4" fontId="0" fillId="0" borderId="0" xfId="0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center"/>
    </xf>
    <xf numFmtId="2" fontId="0" fillId="0" borderId="1" xfId="0" quotePrefix="1" applyNumberFormat="1" applyFont="1" applyFill="1" applyBorder="1" applyAlignment="1">
      <alignment vertical="top" wrapText="1"/>
    </xf>
    <xf numFmtId="4" fontId="0" fillId="0" borderId="38" xfId="0" applyFont="1" applyFill="1" applyBorder="1" applyAlignment="1">
      <alignment wrapText="1"/>
    </xf>
    <xf numFmtId="4" fontId="0" fillId="0" borderId="1" xfId="0" applyNumberFormat="1" applyFont="1" applyFill="1" applyBorder="1" applyAlignment="1"/>
    <xf numFmtId="4" fontId="0" fillId="0" borderId="1" xfId="0" quotePrefix="1" applyFont="1" applyFill="1" applyBorder="1" applyAlignment="1">
      <alignment vertical="top" wrapText="1"/>
    </xf>
    <xf numFmtId="4" fontId="0" fillId="0" borderId="1" xfId="0" quotePrefix="1" applyFont="1" applyFill="1" applyBorder="1" applyAlignment="1"/>
    <xf numFmtId="4" fontId="2" fillId="0" borderId="35" xfId="0" applyFont="1" applyFill="1" applyBorder="1" applyAlignment="1">
      <alignment horizontal="left" vertical="center" wrapText="1"/>
    </xf>
    <xf numFmtId="0" fontId="2" fillId="0" borderId="35" xfId="0" applyNumberFormat="1" applyFont="1" applyFill="1" applyBorder="1" applyAlignment="1">
      <alignment horizontal="right" vertical="center"/>
    </xf>
    <xf numFmtId="4" fontId="2" fillId="0" borderId="35" xfId="0" quotePrefix="1" applyNumberFormat="1" applyFont="1" applyFill="1" applyBorder="1" applyAlignment="1">
      <alignment horizontal="right" vertical="center" wrapText="1"/>
    </xf>
    <xf numFmtId="4" fontId="2" fillId="0" borderId="1" xfId="0" quotePrefix="1" applyNumberFormat="1" applyFont="1" applyFill="1" applyBorder="1" applyAlignment="1">
      <alignment horizontal="left" wrapText="1"/>
    </xf>
    <xf numFmtId="4" fontId="2" fillId="0" borderId="40" xfId="0" quotePrefix="1" applyFont="1" applyFill="1" applyBorder="1" applyAlignment="1"/>
    <xf numFmtId="4" fontId="2" fillId="0" borderId="0" xfId="0" quotePrefix="1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4" fontId="2" fillId="0" borderId="0" xfId="0" quotePrefix="1" applyNumberFormat="1" applyFont="1" applyFill="1" applyBorder="1" applyAlignment="1">
      <alignment horizontal="right"/>
    </xf>
    <xf numFmtId="3" fontId="2" fillId="0" borderId="35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/>
    <xf numFmtId="4" fontId="2" fillId="0" borderId="31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left" vertical="center" wrapText="1"/>
    </xf>
    <xf numFmtId="0" fontId="2" fillId="0" borderId="38" xfId="0" applyNumberFormat="1" applyFont="1" applyFill="1" applyBorder="1" applyAlignment="1">
      <alignment vertical="center" wrapText="1"/>
    </xf>
    <xf numFmtId="0" fontId="2" fillId="0" borderId="34" xfId="0" applyNumberFormat="1" applyFont="1" applyFill="1" applyBorder="1" applyAlignment="1">
      <alignment wrapText="1"/>
    </xf>
    <xf numFmtId="4" fontId="0" fillId="0" borderId="0" xfId="0" applyFont="1" applyFill="1" applyBorder="1" applyAlignment="1" applyProtection="1">
      <alignment horizontal="left" vertical="top" wrapText="1"/>
    </xf>
    <xf numFmtId="4" fontId="2" fillId="0" borderId="25" xfId="0" applyNumberFormat="1" applyFont="1" applyFill="1" applyBorder="1" applyAlignment="1">
      <alignment horizontal="right" wrapText="1"/>
    </xf>
    <xf numFmtId="4" fontId="2" fillId="0" borderId="25" xfId="0" applyNumberFormat="1" applyFont="1" applyFill="1" applyBorder="1">
      <alignment vertical="top" wrapText="1"/>
    </xf>
    <xf numFmtId="4" fontId="2" fillId="0" borderId="27" xfId="0" applyFont="1" applyFill="1" applyBorder="1" applyAlignment="1">
      <alignment horizontal="center" vertical="center" wrapText="1"/>
    </xf>
    <xf numFmtId="4" fontId="2" fillId="0" borderId="27" xfId="0" applyFont="1" applyFill="1" applyBorder="1" applyAlignment="1">
      <alignment horizontal="center" wrapText="1"/>
    </xf>
    <xf numFmtId="4" fontId="3" fillId="0" borderId="27" xfId="0" applyNumberFormat="1" applyFont="1" applyFill="1" applyBorder="1" applyAlignment="1"/>
    <xf numFmtId="2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>
      <alignment vertical="top" wrapText="1"/>
    </xf>
    <xf numFmtId="4" fontId="2" fillId="0" borderId="27" xfId="0" applyFont="1" applyFill="1" applyBorder="1">
      <alignment vertical="top" wrapText="1"/>
    </xf>
    <xf numFmtId="4" fontId="8" fillId="0" borderId="0" xfId="0" applyFont="1" applyFill="1" applyBorder="1" applyAlignment="1">
      <alignment vertical="center" wrapText="1"/>
    </xf>
    <xf numFmtId="4" fontId="8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right"/>
    </xf>
    <xf numFmtId="4" fontId="2" fillId="0" borderId="27" xfId="0" quotePrefix="1" applyFont="1" applyFill="1" applyBorder="1" applyAlignment="1">
      <alignment wrapText="1"/>
    </xf>
    <xf numFmtId="4" fontId="2" fillId="0" borderId="27" xfId="0" applyFont="1" applyFill="1" applyBorder="1" applyAlignment="1">
      <alignment vertical="top"/>
    </xf>
    <xf numFmtId="4" fontId="10" fillId="0" borderId="0" xfId="0" applyNumberFormat="1" applyFont="1" applyFill="1" applyBorder="1" applyAlignment="1"/>
    <xf numFmtId="4" fontId="2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left" vertical="center"/>
    </xf>
    <xf numFmtId="4" fontId="3" fillId="0" borderId="27" xfId="0" applyFont="1" applyFill="1" applyBorder="1" applyAlignment="1">
      <alignment vertical="top" wrapText="1"/>
    </xf>
    <xf numFmtId="4" fontId="3" fillId="0" borderId="0" xfId="0" applyFont="1" applyFill="1" applyBorder="1" applyAlignment="1">
      <alignment vertical="top" wrapText="1"/>
    </xf>
    <xf numFmtId="4" fontId="3" fillId="0" borderId="0" xfId="0" applyFont="1" applyFill="1" applyBorder="1" applyAlignment="1">
      <alignment vertical="center" wrapText="1"/>
    </xf>
    <xf numFmtId="3" fontId="2" fillId="0" borderId="27" xfId="0" applyNumberFormat="1" applyFont="1" applyFill="1" applyBorder="1" applyAlignment="1">
      <alignment horizontal="left" vertical="center"/>
    </xf>
    <xf numFmtId="4" fontId="2" fillId="0" borderId="27" xfId="0" applyFont="1" applyFill="1" applyBorder="1" applyAlignment="1">
      <alignment horizontal="right"/>
    </xf>
    <xf numFmtId="4" fontId="8" fillId="0" borderId="27" xfId="0" applyFont="1" applyFill="1" applyBorder="1" applyAlignment="1">
      <alignment vertical="top" wrapText="1"/>
    </xf>
    <xf numFmtId="4" fontId="2" fillId="0" borderId="48" xfId="0" applyFont="1" applyFill="1" applyBorder="1" applyAlignment="1">
      <alignment vertical="top" wrapText="1"/>
    </xf>
    <xf numFmtId="4" fontId="2" fillId="0" borderId="49" xfId="0" applyFont="1" applyFill="1" applyBorder="1" applyAlignment="1">
      <alignment vertical="top" wrapText="1"/>
    </xf>
    <xf numFmtId="4" fontId="2" fillId="0" borderId="12" xfId="0" applyFont="1" applyFill="1" applyBorder="1" applyAlignment="1">
      <alignment horizontal="center" vertical="center" wrapText="1"/>
    </xf>
    <xf numFmtId="4" fontId="2" fillId="0" borderId="13" xfId="0" applyFont="1" applyFill="1" applyBorder="1" applyAlignment="1">
      <alignment horizontal="center" vertical="center" wrapText="1"/>
    </xf>
    <xf numFmtId="4" fontId="2" fillId="0" borderId="0" xfId="0" applyFont="1" applyFill="1" applyAlignment="1"/>
    <xf numFmtId="4" fontId="2" fillId="0" borderId="0" xfId="0" applyFont="1">
      <alignment vertical="top" wrapText="1"/>
    </xf>
    <xf numFmtId="4" fontId="2" fillId="0" borderId="0" xfId="0" applyFont="1" applyAlignment="1">
      <alignment wrapText="1"/>
    </xf>
    <xf numFmtId="0" fontId="2" fillId="0" borderId="50" xfId="0" applyNumberFormat="1" applyFont="1" applyBorder="1" applyAlignment="1">
      <alignment wrapText="1"/>
    </xf>
    <xf numFmtId="0" fontId="2" fillId="0" borderId="0" xfId="0" applyNumberFormat="1" applyFont="1" applyAlignment="1">
      <alignment wrapText="1"/>
    </xf>
    <xf numFmtId="4" fontId="11" fillId="0" borderId="0" xfId="0" applyFont="1" applyFill="1" applyBorder="1" applyAlignment="1">
      <alignment horizontal="center" vertical="center" wrapText="1"/>
    </xf>
    <xf numFmtId="4" fontId="11" fillId="0" borderId="21" xfId="0" applyFont="1" applyFill="1" applyBorder="1" applyAlignment="1">
      <alignment horizontal="center" vertical="top" wrapText="1"/>
    </xf>
    <xf numFmtId="4" fontId="8" fillId="0" borderId="0" xfId="0" applyFont="1" applyFill="1" applyBorder="1" applyAlignment="1">
      <alignment horizontal="center" vertical="top" wrapText="1"/>
    </xf>
    <xf numFmtId="4" fontId="2" fillId="0" borderId="27" xfId="0" applyFont="1" applyFill="1" applyBorder="1" applyAlignment="1">
      <alignment horizontal="center" vertical="top"/>
    </xf>
    <xf numFmtId="4" fontId="2" fillId="0" borderId="0" xfId="0" applyFont="1" applyFill="1" applyBorder="1" applyAlignment="1">
      <alignment horizontal="center" vertical="top"/>
    </xf>
    <xf numFmtId="4" fontId="2" fillId="0" borderId="0" xfId="0" applyFont="1" applyFill="1" applyBorder="1" applyAlignment="1">
      <alignment horizontal="left" vertical="top"/>
    </xf>
    <xf numFmtId="0" fontId="3" fillId="0" borderId="2" xfId="0" applyNumberFormat="1" applyFont="1" applyFill="1" applyBorder="1" applyAlignment="1">
      <alignment horizontal="left" vertical="center" wrapText="1"/>
    </xf>
    <xf numFmtId="4" fontId="2" fillId="0" borderId="8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Font="1" applyFill="1" applyBorder="1" applyAlignment="1">
      <alignment horizontal="center" vertical="center" wrapText="1"/>
    </xf>
    <xf numFmtId="4" fontId="2" fillId="0" borderId="9" xfId="0" applyFont="1" applyFill="1" applyBorder="1" applyAlignment="1">
      <alignment wrapText="1"/>
    </xf>
  </cellXfs>
  <cellStyles count="4">
    <cellStyle name="Euro" xfId="1"/>
    <cellStyle name="Normal" xfId="0" builtinId="0" customBuiltin="1"/>
    <cellStyle name="Normal 10" xfId="3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99FF"/>
      <color rgb="FF009900"/>
      <color rgb="FFFFFFCC"/>
      <color rgb="FFCCECFF"/>
      <color rgb="FFFFFF66"/>
      <color rgb="FFFFFFFF"/>
      <color rgb="FF26D5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6D509"/>
  </sheetPr>
  <dimension ref="A1:Q2157"/>
  <sheetViews>
    <sheetView showZeros="0" tabSelected="1" view="pageBreakPreview" zoomScale="110" zoomScaleNormal="110" zoomScaleSheetLayoutView="110" workbookViewId="0">
      <selection activeCell="A2" sqref="A2:F2"/>
    </sheetView>
  </sheetViews>
  <sheetFormatPr defaultRowHeight="12.75"/>
  <cols>
    <col min="1" max="1" width="9.140625" style="6" customWidth="1"/>
    <col min="2" max="2" width="35.85546875" style="6" customWidth="1"/>
    <col min="3" max="3" width="5.7109375" style="6" customWidth="1"/>
    <col min="4" max="4" width="10.85546875" style="6" customWidth="1"/>
    <col min="5" max="5" width="12.7109375" style="6" customWidth="1"/>
    <col min="6" max="6" width="17.42578125" style="6" customWidth="1"/>
    <col min="7" max="7" width="1.28515625" style="6" customWidth="1"/>
    <col min="8" max="8" width="45.85546875" style="103" customWidth="1"/>
    <col min="9" max="9" width="23.42578125" style="6" customWidth="1"/>
    <col min="10" max="10" width="17.42578125" style="6" customWidth="1"/>
    <col min="11" max="11" width="8.7109375" style="6" customWidth="1"/>
    <col min="12" max="12" width="12.5703125" style="6" customWidth="1"/>
    <col min="13" max="16384" width="9.140625" style="6"/>
  </cols>
  <sheetData>
    <row r="1" spans="1:15" s="4" customFormat="1" ht="15" customHeight="1">
      <c r="A1" s="423" t="s">
        <v>1286</v>
      </c>
      <c r="B1" s="423"/>
      <c r="C1" s="423"/>
      <c r="D1" s="423"/>
      <c r="E1" s="423"/>
      <c r="F1" s="423"/>
      <c r="H1" s="157"/>
      <c r="I1" s="3"/>
      <c r="J1" s="5"/>
      <c r="K1" s="5"/>
      <c r="L1" s="5"/>
      <c r="M1" s="5"/>
      <c r="N1" s="6"/>
      <c r="O1" s="6"/>
    </row>
    <row r="2" spans="1:15" s="4" customFormat="1" ht="42" customHeight="1" thickBot="1">
      <c r="A2" s="424" t="s">
        <v>1285</v>
      </c>
      <c r="B2" s="424"/>
      <c r="C2" s="424"/>
      <c r="D2" s="424"/>
      <c r="E2" s="424"/>
      <c r="F2" s="424"/>
      <c r="G2" s="4">
        <v>120</v>
      </c>
      <c r="H2" s="157"/>
      <c r="I2" s="3"/>
      <c r="J2" s="5"/>
      <c r="K2" s="5"/>
      <c r="L2" s="5"/>
      <c r="M2" s="5"/>
      <c r="N2" s="6"/>
      <c r="O2" s="6"/>
    </row>
    <row r="3" spans="1:15" ht="39" thickBot="1">
      <c r="A3" s="430" t="s">
        <v>30</v>
      </c>
      <c r="B3" s="431" t="s">
        <v>33</v>
      </c>
      <c r="C3" s="432" t="s">
        <v>37</v>
      </c>
      <c r="D3" s="49" t="s">
        <v>31</v>
      </c>
      <c r="E3" s="49" t="s">
        <v>285</v>
      </c>
      <c r="F3" s="155" t="s">
        <v>286</v>
      </c>
      <c r="G3" s="394"/>
      <c r="H3" s="297"/>
      <c r="I3" s="103"/>
      <c r="J3" s="103"/>
      <c r="K3" s="103"/>
    </row>
    <row r="4" spans="1:15" ht="13.5" thickBot="1">
      <c r="A4" s="430"/>
      <c r="B4" s="431"/>
      <c r="C4" s="433"/>
      <c r="D4" s="416" t="s">
        <v>34</v>
      </c>
      <c r="E4" s="416" t="s">
        <v>35</v>
      </c>
      <c r="F4" s="417" t="s">
        <v>36</v>
      </c>
      <c r="G4" s="395"/>
      <c r="H4" s="125"/>
      <c r="I4" s="103"/>
      <c r="J4" s="103"/>
      <c r="K4" s="103"/>
    </row>
    <row r="5" spans="1:15" ht="15.75" thickBot="1">
      <c r="A5" s="56" t="s">
        <v>22</v>
      </c>
      <c r="B5" s="429" t="s">
        <v>42</v>
      </c>
      <c r="C5" s="429"/>
      <c r="D5" s="429"/>
      <c r="E5" s="429"/>
      <c r="F5" s="429"/>
      <c r="G5" s="186"/>
      <c r="I5" s="103"/>
      <c r="J5" s="103"/>
      <c r="K5" s="103"/>
    </row>
    <row r="6" spans="1:15">
      <c r="A6" s="83"/>
      <c r="B6" s="84"/>
      <c r="C6" s="84"/>
      <c r="D6" s="84"/>
      <c r="E6" s="84"/>
      <c r="F6" s="85"/>
      <c r="G6" s="186"/>
      <c r="I6" s="103"/>
      <c r="J6" s="103"/>
      <c r="K6" s="103"/>
    </row>
    <row r="7" spans="1:15">
      <c r="A7" s="32"/>
      <c r="B7" s="80" t="s">
        <v>167</v>
      </c>
      <c r="C7" s="22"/>
      <c r="D7" s="22"/>
      <c r="E7" s="22"/>
      <c r="F7" s="63"/>
      <c r="G7" s="186"/>
      <c r="I7" s="103"/>
      <c r="J7" s="103"/>
      <c r="K7" s="103"/>
    </row>
    <row r="8" spans="1:15" ht="63.75">
      <c r="A8" s="32"/>
      <c r="B8" s="224" t="s">
        <v>263</v>
      </c>
      <c r="C8" s="22"/>
      <c r="D8" s="22"/>
      <c r="E8" s="22"/>
      <c r="F8" s="63"/>
      <c r="G8" s="186"/>
      <c r="I8" s="103"/>
      <c r="J8" s="103"/>
      <c r="K8" s="103"/>
    </row>
    <row r="9" spans="1:15" ht="25.5">
      <c r="A9" s="77"/>
      <c r="B9" s="105" t="s">
        <v>264</v>
      </c>
      <c r="C9" s="22"/>
      <c r="D9" s="22"/>
      <c r="E9" s="22"/>
      <c r="F9" s="63"/>
      <c r="G9" s="186"/>
      <c r="I9" s="103"/>
      <c r="J9" s="103"/>
      <c r="K9" s="103"/>
    </row>
    <row r="10" spans="1:15">
      <c r="A10" s="77"/>
      <c r="B10" s="105"/>
      <c r="C10" s="22"/>
      <c r="D10" s="22"/>
      <c r="E10" s="22"/>
      <c r="F10" s="63"/>
      <c r="G10" s="186"/>
      <c r="I10" s="103"/>
      <c r="J10" s="103"/>
      <c r="K10" s="103"/>
    </row>
    <row r="11" spans="1:15" ht="51">
      <c r="A11" s="76" t="s">
        <v>10</v>
      </c>
      <c r="B11" s="188" t="s">
        <v>1162</v>
      </c>
      <c r="C11" s="189"/>
      <c r="D11" s="190"/>
      <c r="E11" s="190"/>
      <c r="F11" s="63"/>
      <c r="G11" s="186"/>
      <c r="I11" s="103"/>
      <c r="J11" s="103"/>
      <c r="K11" s="103"/>
    </row>
    <row r="12" spans="1:15" ht="51">
      <c r="A12" s="77"/>
      <c r="B12" s="188" t="s">
        <v>1161</v>
      </c>
      <c r="C12" s="189"/>
      <c r="D12" s="190"/>
      <c r="E12" s="190"/>
      <c r="F12" s="63"/>
      <c r="G12" s="186"/>
      <c r="I12" s="103"/>
      <c r="J12" s="103"/>
      <c r="K12" s="103"/>
    </row>
    <row r="13" spans="1:15">
      <c r="A13" s="77"/>
      <c r="B13" s="188"/>
      <c r="C13" s="189"/>
      <c r="D13" s="190"/>
      <c r="E13" s="190"/>
      <c r="F13" s="63"/>
      <c r="G13" s="186"/>
      <c r="I13" s="103"/>
      <c r="J13" s="103"/>
      <c r="K13" s="103"/>
    </row>
    <row r="14" spans="1:15">
      <c r="A14" s="77"/>
      <c r="B14" s="191" t="s">
        <v>1163</v>
      </c>
      <c r="C14" s="189" t="s">
        <v>40</v>
      </c>
      <c r="D14" s="191">
        <f>0.3*527.97</f>
        <v>158.39099999999999</v>
      </c>
      <c r="E14" s="188"/>
      <c r="F14" s="20">
        <f>E14*D14</f>
        <v>0</v>
      </c>
      <c r="G14" s="193"/>
      <c r="I14" s="103"/>
      <c r="J14" s="103"/>
      <c r="K14" s="103"/>
    </row>
    <row r="15" spans="1:15">
      <c r="A15" s="77"/>
      <c r="B15" s="105"/>
      <c r="C15" s="22"/>
      <c r="D15" s="22"/>
      <c r="E15" s="22"/>
      <c r="F15" s="63"/>
      <c r="G15" s="186"/>
      <c r="I15" s="103"/>
      <c r="J15" s="103"/>
      <c r="K15" s="103"/>
    </row>
    <row r="16" spans="1:15" ht="25.5">
      <c r="A16" s="76" t="s">
        <v>114</v>
      </c>
      <c r="B16" s="225" t="s">
        <v>1228</v>
      </c>
      <c r="C16" s="22"/>
      <c r="D16" s="22"/>
      <c r="E16" s="22"/>
      <c r="F16" s="63"/>
      <c r="G16" s="186"/>
      <c r="I16" s="103"/>
      <c r="J16" s="103"/>
      <c r="K16" s="103"/>
    </row>
    <row r="17" spans="1:11" ht="38.25">
      <c r="A17" s="77"/>
      <c r="B17" s="112" t="s">
        <v>265</v>
      </c>
      <c r="C17" s="22"/>
      <c r="D17" s="22"/>
      <c r="E17" s="22"/>
      <c r="F17" s="63"/>
      <c r="G17" s="186"/>
      <c r="I17" s="103"/>
      <c r="J17" s="103"/>
      <c r="K17" s="103"/>
    </row>
    <row r="18" spans="1:11" ht="51">
      <c r="A18" s="77"/>
      <c r="B18" s="112" t="s">
        <v>266</v>
      </c>
      <c r="C18" s="22"/>
      <c r="D18" s="22"/>
      <c r="E18" s="22"/>
      <c r="F18" s="63"/>
      <c r="G18" s="186"/>
      <c r="I18" s="103"/>
      <c r="J18" s="103"/>
      <c r="K18" s="103"/>
    </row>
    <row r="19" spans="1:11" ht="76.5" customHeight="1">
      <c r="A19" s="76"/>
      <c r="B19" s="112" t="s">
        <v>790</v>
      </c>
      <c r="C19" s="22"/>
      <c r="D19" s="21"/>
      <c r="E19" s="22"/>
      <c r="F19" s="63"/>
      <c r="G19" s="186"/>
      <c r="I19" s="103"/>
      <c r="J19" s="103"/>
      <c r="K19" s="103"/>
    </row>
    <row r="20" spans="1:11">
      <c r="A20" s="77"/>
      <c r="B20" s="225" t="s">
        <v>1178</v>
      </c>
      <c r="C20" s="22"/>
      <c r="D20" s="22"/>
      <c r="E20" s="22"/>
      <c r="F20" s="63"/>
      <c r="G20" s="186"/>
      <c r="H20" s="305"/>
      <c r="I20" s="103"/>
      <c r="J20" s="103"/>
      <c r="K20" s="103"/>
    </row>
    <row r="21" spans="1:11" ht="25.5">
      <c r="A21" s="77"/>
      <c r="B21" s="225" t="s">
        <v>221</v>
      </c>
      <c r="C21" s="22"/>
      <c r="D21" s="22"/>
      <c r="E21" s="22"/>
      <c r="F21" s="63"/>
      <c r="G21" s="186"/>
      <c r="I21" s="103"/>
      <c r="J21" s="103"/>
      <c r="K21" s="103"/>
    </row>
    <row r="22" spans="1:11" ht="25.5">
      <c r="A22" s="77"/>
      <c r="B22" s="225" t="s">
        <v>281</v>
      </c>
      <c r="C22" s="22"/>
      <c r="D22" s="22"/>
      <c r="E22" s="22"/>
      <c r="F22" s="63"/>
      <c r="G22" s="186"/>
      <c r="I22" s="103"/>
      <c r="J22" s="103"/>
      <c r="K22" s="103"/>
    </row>
    <row r="23" spans="1:11" ht="63.75">
      <c r="A23" s="195"/>
      <c r="B23" s="288" t="s">
        <v>1179</v>
      </c>
      <c r="C23" s="196"/>
      <c r="D23" s="196"/>
      <c r="E23" s="196"/>
      <c r="F23" s="197"/>
      <c r="G23" s="186"/>
      <c r="I23" s="103"/>
      <c r="J23" s="103"/>
      <c r="K23" s="103"/>
    </row>
    <row r="24" spans="1:11">
      <c r="A24" s="77"/>
      <c r="B24" s="225"/>
      <c r="C24" s="22"/>
      <c r="D24" s="22"/>
      <c r="E24" s="22"/>
      <c r="F24" s="63"/>
      <c r="G24" s="186"/>
      <c r="I24" s="103"/>
      <c r="J24" s="103"/>
      <c r="K24" s="103"/>
    </row>
    <row r="25" spans="1:11" ht="38.25">
      <c r="A25" s="77"/>
      <c r="B25" s="226" t="s">
        <v>267</v>
      </c>
      <c r="C25" s="22"/>
      <c r="D25" s="22"/>
      <c r="E25" s="22"/>
      <c r="F25" s="63"/>
      <c r="G25" s="186"/>
      <c r="I25" s="103"/>
      <c r="J25" s="103"/>
      <c r="K25" s="103"/>
    </row>
    <row r="26" spans="1:11">
      <c r="A26" s="77"/>
      <c r="B26" s="17"/>
      <c r="C26" s="22"/>
      <c r="D26" s="22"/>
      <c r="E26" s="22"/>
      <c r="F26" s="63"/>
      <c r="G26" s="186"/>
      <c r="I26" s="103"/>
      <c r="J26" s="103"/>
      <c r="K26" s="103"/>
    </row>
    <row r="27" spans="1:11" ht="63.75">
      <c r="A27" s="77"/>
      <c r="B27" s="23" t="s">
        <v>1143</v>
      </c>
      <c r="C27" s="18" t="s">
        <v>40</v>
      </c>
      <c r="D27" s="26">
        <f>(0.21+0.47)/2*527.97+0.35*0.35/2*101.8+0.5*194.77+0.5*(1*(3.77+4.17)+1.8*(10.6+16.97+14.63+6.27+6.3+3.03+4.47)+1.85*(4.17*2+3.77+4.47)+3.1*6.72+2.25*2.34)</f>
        <v>371.52804999999995</v>
      </c>
      <c r="E27" s="19"/>
      <c r="F27" s="20">
        <f>E27*D27</f>
        <v>0</v>
      </c>
      <c r="G27" s="193"/>
      <c r="H27" s="89"/>
      <c r="I27" s="103"/>
      <c r="J27" s="103"/>
      <c r="K27" s="103"/>
    </row>
    <row r="28" spans="1:11" s="103" customFormat="1">
      <c r="A28" s="76"/>
      <c r="B28" s="89"/>
      <c r="C28" s="22"/>
      <c r="D28" s="21"/>
      <c r="E28" s="22"/>
      <c r="F28" s="63"/>
      <c r="G28" s="186"/>
    </row>
    <row r="29" spans="1:11" s="103" customFormat="1" ht="63.75">
      <c r="A29" s="76" t="s">
        <v>215</v>
      </c>
      <c r="B29" s="237" t="s">
        <v>222</v>
      </c>
      <c r="C29" s="22"/>
      <c r="D29" s="21"/>
      <c r="E29" s="22"/>
      <c r="F29" s="63"/>
      <c r="G29" s="186"/>
      <c r="H29" s="112"/>
    </row>
    <row r="30" spans="1:11" s="103" customFormat="1" ht="38.25">
      <c r="A30" s="76"/>
      <c r="B30" s="225" t="s">
        <v>276</v>
      </c>
      <c r="C30" s="22"/>
      <c r="D30" s="21"/>
      <c r="E30" s="22"/>
      <c r="F30" s="63"/>
      <c r="G30" s="186"/>
    </row>
    <row r="31" spans="1:11" s="103" customFormat="1">
      <c r="A31" s="76"/>
      <c r="B31" s="23"/>
      <c r="C31" s="22"/>
      <c r="D31" s="22"/>
      <c r="E31" s="22"/>
      <c r="F31" s="63"/>
      <c r="G31" s="186"/>
    </row>
    <row r="32" spans="1:11" s="103" customFormat="1" ht="38.25">
      <c r="A32" s="76"/>
      <c r="B32" s="23" t="s">
        <v>1132</v>
      </c>
      <c r="C32" s="18" t="s">
        <v>40</v>
      </c>
      <c r="D32" s="78">
        <f>(0.41+0.67)/2*(25.41+28.73+23.66+25.62+29.75+78.44+35.33+22.21)+0.55*0.55/2*101.8+(0.41+0.67)/2*0.8*101.8</f>
        <v>204.71585000000002</v>
      </c>
      <c r="E32" s="16"/>
      <c r="F32" s="20">
        <f>D32*E32</f>
        <v>0</v>
      </c>
      <c r="G32" s="193"/>
      <c r="H32" s="8"/>
    </row>
    <row r="33" spans="1:13" s="103" customFormat="1">
      <c r="A33" s="76"/>
      <c r="B33" s="23"/>
      <c r="C33" s="22"/>
      <c r="D33" s="21"/>
      <c r="E33" s="22"/>
      <c r="F33" s="63"/>
      <c r="G33" s="186"/>
    </row>
    <row r="34" spans="1:13" ht="38.25">
      <c r="A34" s="76" t="s">
        <v>187</v>
      </c>
      <c r="B34" s="17" t="s">
        <v>301</v>
      </c>
      <c r="C34" s="17"/>
      <c r="D34" s="17"/>
      <c r="E34" s="22"/>
      <c r="F34" s="63"/>
      <c r="G34" s="186"/>
      <c r="I34" s="103"/>
      <c r="J34" s="103"/>
      <c r="K34" s="103"/>
    </row>
    <row r="35" spans="1:13" ht="25.5">
      <c r="A35" s="76"/>
      <c r="B35" s="17" t="s">
        <v>302</v>
      </c>
      <c r="C35" s="17"/>
      <c r="D35" s="17"/>
      <c r="E35" s="22"/>
      <c r="F35" s="63"/>
      <c r="G35" s="186"/>
      <c r="I35" s="103"/>
      <c r="J35" s="103"/>
      <c r="K35" s="103"/>
    </row>
    <row r="36" spans="1:13">
      <c r="A36" s="76"/>
      <c r="B36" s="17" t="s">
        <v>268</v>
      </c>
      <c r="C36" s="17"/>
      <c r="D36" s="17"/>
      <c r="E36" s="22"/>
      <c r="F36" s="63"/>
      <c r="G36" s="186"/>
      <c r="I36" s="103"/>
      <c r="J36" s="103"/>
      <c r="K36" s="103"/>
    </row>
    <row r="37" spans="1:13">
      <c r="A37" s="76"/>
      <c r="B37" s="21" t="s">
        <v>1160</v>
      </c>
      <c r="C37" s="298" t="s">
        <v>40</v>
      </c>
      <c r="D37" s="21">
        <f>1.2*(371.53-204.72)</f>
        <v>200.17199999999997</v>
      </c>
      <c r="E37" s="80"/>
      <c r="F37" s="20">
        <f>D37*E37</f>
        <v>0</v>
      </c>
      <c r="G37" s="193"/>
      <c r="H37" s="112"/>
      <c r="I37" s="103"/>
      <c r="J37" s="103"/>
      <c r="K37" s="103"/>
    </row>
    <row r="38" spans="1:13">
      <c r="A38" s="76"/>
      <c r="B38" s="21"/>
      <c r="C38" s="18"/>
      <c r="D38" s="21"/>
      <c r="E38" s="80"/>
      <c r="F38" s="20"/>
      <c r="G38" s="186"/>
      <c r="H38" s="112"/>
      <c r="I38" s="103"/>
      <c r="J38" s="103"/>
      <c r="K38" s="103"/>
    </row>
    <row r="39" spans="1:13">
      <c r="A39" s="76"/>
      <c r="B39" s="21"/>
      <c r="C39" s="18"/>
      <c r="D39" s="21"/>
      <c r="E39" s="80"/>
      <c r="F39" s="20"/>
      <c r="G39" s="186"/>
      <c r="H39" s="112"/>
      <c r="I39" s="103"/>
      <c r="J39" s="103"/>
      <c r="K39" s="103"/>
    </row>
    <row r="40" spans="1:13" ht="25.5">
      <c r="A40" s="76" t="s">
        <v>223</v>
      </c>
      <c r="B40" s="17" t="s">
        <v>1229</v>
      </c>
      <c r="C40" s="18"/>
      <c r="D40" s="21"/>
      <c r="E40" s="80"/>
      <c r="F40" s="20"/>
      <c r="G40" s="186"/>
      <c r="H40" s="112"/>
      <c r="I40" s="103"/>
      <c r="J40" s="103"/>
      <c r="K40" s="103"/>
    </row>
    <row r="41" spans="1:13" ht="25.5">
      <c r="A41" s="76"/>
      <c r="B41" s="224" t="s">
        <v>277</v>
      </c>
      <c r="C41" s="18"/>
      <c r="D41" s="21"/>
      <c r="E41" s="80"/>
      <c r="F41" s="20"/>
      <c r="G41" s="186"/>
      <c r="H41" s="112"/>
      <c r="I41" s="103"/>
      <c r="J41" s="103"/>
      <c r="K41" s="103"/>
    </row>
    <row r="42" spans="1:13">
      <c r="A42" s="76"/>
      <c r="B42" s="17" t="s">
        <v>48</v>
      </c>
      <c r="C42" s="18"/>
      <c r="D42" s="21"/>
      <c r="E42" s="80"/>
      <c r="F42" s="20"/>
      <c r="G42" s="186"/>
      <c r="H42" s="112"/>
      <c r="I42" s="103"/>
      <c r="J42" s="103"/>
      <c r="K42" s="103"/>
    </row>
    <row r="43" spans="1:13">
      <c r="A43" s="76"/>
      <c r="B43" s="21"/>
      <c r="C43" s="18"/>
      <c r="D43" s="21"/>
      <c r="E43" s="80"/>
      <c r="F43" s="20"/>
      <c r="G43" s="186"/>
      <c r="H43" s="112"/>
      <c r="I43" s="103"/>
      <c r="J43" s="103"/>
      <c r="K43" s="103"/>
    </row>
    <row r="44" spans="1:13">
      <c r="A44" s="76"/>
      <c r="B44" s="21" t="s">
        <v>1109</v>
      </c>
      <c r="C44" s="18" t="s">
        <v>40</v>
      </c>
      <c r="D44" s="21">
        <f>0.75*1.75*2.6</f>
        <v>3.4125000000000001</v>
      </c>
      <c r="E44" s="80"/>
      <c r="F44" s="20">
        <f>D44*E44</f>
        <v>0</v>
      </c>
      <c r="G44" s="186"/>
      <c r="H44" s="112"/>
      <c r="I44" s="103"/>
      <c r="J44" s="103"/>
      <c r="K44" s="103"/>
    </row>
    <row r="45" spans="1:13" ht="13.5" thickBot="1">
      <c r="A45" s="76"/>
      <c r="B45" s="17"/>
      <c r="C45" s="18"/>
      <c r="D45" s="21"/>
      <c r="E45" s="80"/>
      <c r="F45" s="20"/>
      <c r="G45" s="186"/>
      <c r="H45" s="112"/>
      <c r="I45" s="103"/>
      <c r="J45" s="103"/>
      <c r="K45" s="103"/>
    </row>
    <row r="46" spans="1:13" s="1" customFormat="1" ht="15.95" customHeight="1" thickBot="1">
      <c r="A46" s="51" t="str">
        <f>A5</f>
        <v>1.</v>
      </c>
      <c r="B46" s="53" t="s">
        <v>9</v>
      </c>
      <c r="C46" s="54"/>
      <c r="D46" s="54"/>
      <c r="E46" s="55"/>
      <c r="F46" s="52">
        <f>SUM(F6:F45)</f>
        <v>0</v>
      </c>
      <c r="G46" s="396"/>
      <c r="H46" s="299"/>
      <c r="I46" s="397"/>
      <c r="J46" s="398"/>
      <c r="K46" s="398"/>
      <c r="L46" s="2"/>
      <c r="M46" s="2"/>
    </row>
    <row r="47" spans="1:13" s="1" customFormat="1" ht="15.95" customHeight="1" thickBot="1">
      <c r="A47" s="50" t="s">
        <v>23</v>
      </c>
      <c r="B47" s="69" t="s">
        <v>49</v>
      </c>
      <c r="C47" s="70"/>
      <c r="D47" s="70"/>
      <c r="E47" s="70"/>
      <c r="F47" s="71"/>
      <c r="G47" s="399"/>
      <c r="H47" s="299"/>
      <c r="I47" s="397"/>
      <c r="J47" s="398"/>
      <c r="K47" s="398"/>
      <c r="L47" s="2"/>
      <c r="M47" s="2"/>
    </row>
    <row r="48" spans="1:13">
      <c r="A48" s="32"/>
      <c r="B48" s="22"/>
      <c r="C48" s="22"/>
      <c r="D48" s="22"/>
      <c r="E48" s="84"/>
      <c r="F48" s="63"/>
      <c r="G48" s="186"/>
      <c r="I48" s="103"/>
      <c r="J48" s="103"/>
      <c r="K48" s="103"/>
    </row>
    <row r="49" spans="1:11">
      <c r="A49" s="32"/>
      <c r="B49" s="22" t="s">
        <v>61</v>
      </c>
      <c r="C49" s="22"/>
      <c r="D49" s="22"/>
      <c r="E49" s="22"/>
      <c r="F49" s="63"/>
      <c r="G49" s="186"/>
      <c r="I49" s="103"/>
      <c r="J49" s="103"/>
      <c r="K49" s="103"/>
    </row>
    <row r="50" spans="1:11" ht="89.25">
      <c r="A50" s="32"/>
      <c r="B50" s="22" t="s">
        <v>303</v>
      </c>
      <c r="C50" s="22"/>
      <c r="D50" s="22"/>
      <c r="E50" s="22"/>
      <c r="F50" s="63"/>
      <c r="G50" s="186"/>
      <c r="I50" s="103"/>
      <c r="J50" s="103"/>
      <c r="K50" s="103"/>
    </row>
    <row r="51" spans="1:11" ht="38.25">
      <c r="A51" s="32"/>
      <c r="B51" s="22" t="s">
        <v>304</v>
      </c>
      <c r="C51" s="22"/>
      <c r="D51" s="22"/>
      <c r="E51" s="22"/>
      <c r="F51" s="63"/>
      <c r="G51" s="186"/>
      <c r="I51" s="103"/>
      <c r="J51" s="103"/>
      <c r="K51" s="103"/>
    </row>
    <row r="52" spans="1:11">
      <c r="A52" s="32"/>
      <c r="B52" s="22"/>
      <c r="C52" s="22"/>
      <c r="D52" s="22"/>
      <c r="E52" s="22"/>
      <c r="F52" s="63"/>
      <c r="G52" s="186"/>
      <c r="I52" s="103"/>
      <c r="J52" s="103"/>
      <c r="K52" s="103"/>
    </row>
    <row r="53" spans="1:11" ht="38.25">
      <c r="A53" s="76" t="s">
        <v>6</v>
      </c>
      <c r="B53" s="103" t="s">
        <v>348</v>
      </c>
      <c r="C53" s="22"/>
      <c r="D53" s="22"/>
      <c r="E53" s="22"/>
      <c r="F53" s="63"/>
      <c r="G53" s="186"/>
      <c r="I53" s="103"/>
      <c r="J53" s="103"/>
      <c r="K53" s="103"/>
    </row>
    <row r="54" spans="1:11" ht="25.5">
      <c r="A54" s="76"/>
      <c r="B54" s="103" t="s">
        <v>1094</v>
      </c>
      <c r="C54" s="22"/>
      <c r="D54" s="22"/>
      <c r="E54" s="22"/>
      <c r="F54" s="63"/>
      <c r="G54" s="186"/>
      <c r="I54" s="103"/>
      <c r="J54" s="103"/>
      <c r="K54" s="103"/>
    </row>
    <row r="55" spans="1:11">
      <c r="A55" s="32"/>
      <c r="B55" s="237" t="s">
        <v>41</v>
      </c>
      <c r="C55" s="22"/>
      <c r="D55" s="22"/>
      <c r="E55" s="22"/>
      <c r="F55" s="63"/>
      <c r="G55" s="186"/>
      <c r="I55" s="103"/>
      <c r="J55" s="103"/>
      <c r="K55" s="103"/>
    </row>
    <row r="56" spans="1:11">
      <c r="A56" s="32"/>
      <c r="B56" s="8"/>
      <c r="C56" s="22"/>
      <c r="D56" s="22"/>
      <c r="E56" s="22"/>
      <c r="F56" s="63"/>
      <c r="G56" s="186"/>
      <c r="I56" s="103"/>
      <c r="J56" s="103"/>
      <c r="K56" s="103"/>
    </row>
    <row r="57" spans="1:11">
      <c r="A57" s="32"/>
      <c r="B57" s="103" t="s">
        <v>1095</v>
      </c>
      <c r="C57" s="22"/>
      <c r="D57" s="22"/>
      <c r="E57" s="22"/>
      <c r="F57" s="63"/>
      <c r="G57" s="186"/>
      <c r="I57" s="103"/>
      <c r="J57" s="103"/>
      <c r="K57" s="103"/>
    </row>
    <row r="58" spans="1:11" ht="38.25">
      <c r="A58" s="32"/>
      <c r="B58" s="89" t="s">
        <v>1098</v>
      </c>
      <c r="C58" s="81" t="s">
        <v>38</v>
      </c>
      <c r="D58" s="80">
        <f>1*(3.77+4.17)+1.8*(10.6+16.97+14.63+6.27+6.3+3.03+4.47)+1.85*(4.17*2+3.77+4.47)+3.1*6.72+2.25*2.34</f>
        <v>176.79599999999996</v>
      </c>
      <c r="E58" s="16"/>
      <c r="F58" s="20">
        <f>D58*E58</f>
        <v>0</v>
      </c>
      <c r="G58" s="193"/>
      <c r="I58" s="103"/>
      <c r="J58" s="103"/>
      <c r="K58" s="103"/>
    </row>
    <row r="59" spans="1:11">
      <c r="A59" s="32"/>
      <c r="B59" s="89"/>
      <c r="C59" s="81"/>
      <c r="D59" s="80"/>
      <c r="E59" s="16"/>
      <c r="F59" s="20"/>
      <c r="G59" s="193"/>
      <c r="I59" s="103"/>
      <c r="J59" s="103"/>
      <c r="K59" s="103"/>
    </row>
    <row r="60" spans="1:11">
      <c r="A60" s="32"/>
      <c r="B60" s="103" t="s">
        <v>1096</v>
      </c>
      <c r="C60" s="22"/>
      <c r="D60" s="22"/>
      <c r="E60" s="22"/>
      <c r="F60" s="63"/>
      <c r="G60" s="193"/>
      <c r="I60" s="103"/>
      <c r="J60" s="103"/>
      <c r="K60" s="103"/>
    </row>
    <row r="61" spans="1:11" ht="25.5">
      <c r="A61" s="32"/>
      <c r="B61" s="89" t="s">
        <v>1097</v>
      </c>
      <c r="C61" s="81" t="s">
        <v>38</v>
      </c>
      <c r="D61" s="80">
        <f>3.35*10.6+11.83*8.62+3.8*6.3+4.45*6.27+1.83*2.25</f>
        <v>193.4436</v>
      </c>
      <c r="E61" s="16"/>
      <c r="F61" s="20">
        <f>D61*E61</f>
        <v>0</v>
      </c>
      <c r="G61" s="193"/>
      <c r="I61" s="103"/>
      <c r="J61" s="103"/>
      <c r="K61" s="103"/>
    </row>
    <row r="62" spans="1:11">
      <c r="A62" s="32"/>
      <c r="B62" s="89"/>
      <c r="C62" s="81"/>
      <c r="D62" s="80"/>
      <c r="E62" s="16"/>
      <c r="F62" s="20"/>
      <c r="G62" s="186"/>
      <c r="H62" s="8"/>
      <c r="I62" s="103"/>
      <c r="J62" s="103"/>
      <c r="K62" s="103"/>
    </row>
    <row r="63" spans="1:11" ht="38.25">
      <c r="A63" s="76" t="s">
        <v>7</v>
      </c>
      <c r="B63" s="103" t="s">
        <v>1112</v>
      </c>
      <c r="C63" s="22"/>
      <c r="D63" s="22"/>
      <c r="E63" s="22"/>
      <c r="F63" s="63"/>
      <c r="G63" s="186"/>
      <c r="I63" s="103"/>
      <c r="J63" s="103"/>
      <c r="K63" s="103"/>
    </row>
    <row r="64" spans="1:11" ht="25.5">
      <c r="A64" s="32"/>
      <c r="B64" s="103" t="s">
        <v>1114</v>
      </c>
      <c r="C64" s="22"/>
      <c r="D64" s="22"/>
      <c r="E64" s="22"/>
      <c r="F64" s="63"/>
      <c r="G64" s="186"/>
      <c r="I64" s="103"/>
      <c r="J64" s="103"/>
      <c r="K64" s="103"/>
    </row>
    <row r="65" spans="1:11" ht="38.25">
      <c r="A65" s="32"/>
      <c r="B65" s="103" t="s">
        <v>349</v>
      </c>
      <c r="C65" s="22"/>
      <c r="D65" s="22"/>
      <c r="E65" s="22"/>
      <c r="F65" s="63"/>
      <c r="G65" s="186"/>
      <c r="I65" s="103"/>
      <c r="J65" s="103"/>
      <c r="K65" s="103"/>
    </row>
    <row r="66" spans="1:11" ht="25.5">
      <c r="A66" s="32"/>
      <c r="B66" s="103" t="s">
        <v>350</v>
      </c>
      <c r="C66" s="22"/>
      <c r="D66" s="22"/>
      <c r="E66" s="22"/>
      <c r="F66" s="63"/>
      <c r="G66" s="186"/>
      <c r="I66" s="103"/>
      <c r="J66" s="103"/>
      <c r="K66" s="103"/>
    </row>
    <row r="67" spans="1:11" ht="25.5">
      <c r="A67" s="32"/>
      <c r="B67" s="103" t="s">
        <v>1113</v>
      </c>
      <c r="C67" s="22"/>
      <c r="D67" s="22"/>
      <c r="E67" s="22"/>
      <c r="F67" s="63"/>
      <c r="G67" s="186"/>
      <c r="I67" s="103"/>
      <c r="J67" s="103"/>
      <c r="K67" s="103"/>
    </row>
    <row r="68" spans="1:11">
      <c r="A68" s="32"/>
      <c r="B68" s="237" t="s">
        <v>48</v>
      </c>
      <c r="C68" s="22"/>
      <c r="D68" s="22"/>
      <c r="E68" s="22"/>
      <c r="F68" s="63"/>
      <c r="G68" s="186"/>
      <c r="I68" s="103"/>
      <c r="J68" s="103"/>
      <c r="K68" s="103"/>
    </row>
    <row r="69" spans="1:11">
      <c r="A69" s="198"/>
      <c r="B69" s="220" t="s">
        <v>1180</v>
      </c>
      <c r="C69" s="208" t="s">
        <v>40</v>
      </c>
      <c r="D69" s="203">
        <f>(0.22+0.35)/2*(115.36+19.3)</f>
        <v>38.378099999999996</v>
      </c>
      <c r="E69" s="207"/>
      <c r="F69" s="199">
        <f>D69*E69</f>
        <v>0</v>
      </c>
      <c r="G69" s="193"/>
      <c r="H69" s="126"/>
      <c r="I69" s="103"/>
      <c r="J69" s="103"/>
      <c r="K69" s="103"/>
    </row>
    <row r="70" spans="1:11">
      <c r="A70" s="32"/>
      <c r="B70" s="103"/>
      <c r="C70" s="22"/>
      <c r="D70" s="22"/>
      <c r="E70" s="22"/>
      <c r="F70" s="63"/>
      <c r="G70" s="186"/>
      <c r="I70" s="103"/>
      <c r="J70" s="103"/>
      <c r="K70" s="103"/>
    </row>
    <row r="71" spans="1:11" ht="51">
      <c r="A71" s="76" t="s">
        <v>224</v>
      </c>
      <c r="B71" s="22" t="s">
        <v>326</v>
      </c>
      <c r="C71" s="22"/>
      <c r="D71" s="22"/>
      <c r="E71" s="22"/>
      <c r="F71" s="63"/>
      <c r="G71" s="186"/>
      <c r="I71" s="103"/>
      <c r="J71" s="103"/>
      <c r="K71" s="103"/>
    </row>
    <row r="72" spans="1:11">
      <c r="A72" s="76"/>
      <c r="B72" s="103" t="s">
        <v>351</v>
      </c>
      <c r="C72" s="22"/>
      <c r="D72" s="22"/>
      <c r="E72" s="22"/>
      <c r="F72" s="63"/>
      <c r="G72" s="186"/>
      <c r="I72" s="103"/>
      <c r="J72" s="103"/>
      <c r="K72" s="103"/>
    </row>
    <row r="73" spans="1:11" ht="25.5">
      <c r="A73" s="32"/>
      <c r="B73" s="227" t="s">
        <v>300</v>
      </c>
      <c r="C73" s="129"/>
      <c r="D73" s="23"/>
      <c r="E73" s="22"/>
      <c r="F73" s="63"/>
      <c r="G73" s="186"/>
      <c r="I73" s="103"/>
      <c r="J73" s="103"/>
      <c r="K73" s="103"/>
    </row>
    <row r="74" spans="1:11">
      <c r="A74" s="32"/>
      <c r="B74" s="148" t="s">
        <v>327</v>
      </c>
      <c r="C74" s="22"/>
      <c r="D74" s="22"/>
      <c r="E74" s="22"/>
      <c r="F74" s="63"/>
      <c r="G74" s="186"/>
      <c r="I74" s="103"/>
      <c r="J74" s="103"/>
      <c r="K74" s="103"/>
    </row>
    <row r="75" spans="1:11">
      <c r="A75" s="79"/>
      <c r="B75" s="22"/>
      <c r="C75" s="22"/>
      <c r="D75" s="22"/>
      <c r="E75" s="22"/>
      <c r="F75" s="63"/>
      <c r="G75" s="186"/>
      <c r="I75" s="103"/>
      <c r="J75" s="103"/>
      <c r="K75" s="103"/>
    </row>
    <row r="76" spans="1:11" ht="38.25">
      <c r="A76" s="32"/>
      <c r="B76" s="89" t="s">
        <v>1099</v>
      </c>
      <c r="C76" s="81" t="s">
        <v>40</v>
      </c>
      <c r="D76" s="80">
        <f>0.4*(1*(3.77+4.17)+1.8*(10.6+16.97+14.63+6.27+6.3+3.03+4.47)+1.85*(4.17*2+3.77+4.47)+3.1*6.72+2.25*2.34)</f>
        <v>70.718399999999988</v>
      </c>
      <c r="E76" s="16"/>
      <c r="F76" s="20">
        <f>D76*E76</f>
        <v>0</v>
      </c>
      <c r="G76" s="193"/>
      <c r="H76" s="8"/>
      <c r="I76" s="103"/>
      <c r="J76" s="103"/>
      <c r="K76" s="103"/>
    </row>
    <row r="77" spans="1:11">
      <c r="A77" s="32"/>
      <c r="B77" s="89"/>
      <c r="C77" s="81"/>
      <c r="D77" s="80"/>
      <c r="E77" s="16"/>
      <c r="F77" s="20"/>
      <c r="G77" s="193"/>
      <c r="H77" s="8"/>
      <c r="I77" s="103"/>
      <c r="J77" s="103"/>
      <c r="K77" s="103"/>
    </row>
    <row r="78" spans="1:11" ht="51">
      <c r="A78" s="76" t="s">
        <v>136</v>
      </c>
      <c r="B78" s="22" t="s">
        <v>1100</v>
      </c>
      <c r="C78" s="22"/>
      <c r="D78" s="22"/>
      <c r="E78" s="22"/>
      <c r="F78" s="63"/>
      <c r="G78" s="186"/>
      <c r="H78" s="8"/>
      <c r="I78" s="103"/>
      <c r="J78" s="103"/>
      <c r="K78" s="103"/>
    </row>
    <row r="79" spans="1:11">
      <c r="A79" s="76"/>
      <c r="B79" s="103" t="s">
        <v>351</v>
      </c>
      <c r="C79" s="22"/>
      <c r="D79" s="22"/>
      <c r="E79" s="22"/>
      <c r="F79" s="63"/>
      <c r="G79" s="186"/>
      <c r="H79" s="8"/>
      <c r="I79" s="103"/>
      <c r="J79" s="103"/>
      <c r="K79" s="103"/>
    </row>
    <row r="80" spans="1:11" ht="25.5">
      <c r="A80" s="32"/>
      <c r="B80" s="227" t="s">
        <v>300</v>
      </c>
      <c r="C80" s="129"/>
      <c r="D80" s="23"/>
      <c r="E80" s="22"/>
      <c r="F80" s="63"/>
      <c r="G80" s="186"/>
      <c r="H80" s="8"/>
      <c r="I80" s="103"/>
      <c r="J80" s="103"/>
      <c r="K80" s="103"/>
    </row>
    <row r="81" spans="1:11">
      <c r="A81" s="32"/>
      <c r="B81" s="148" t="s">
        <v>327</v>
      </c>
      <c r="C81" s="22"/>
      <c r="D81" s="22"/>
      <c r="E81" s="22"/>
      <c r="F81" s="63"/>
      <c r="G81" s="186"/>
      <c r="H81" s="8"/>
      <c r="I81" s="103"/>
      <c r="J81" s="103"/>
      <c r="K81" s="103"/>
    </row>
    <row r="82" spans="1:11">
      <c r="A82" s="79"/>
      <c r="B82" s="22"/>
      <c r="C82" s="22"/>
      <c r="D82" s="22"/>
      <c r="E82" s="22"/>
      <c r="F82" s="63"/>
      <c r="G82" s="186"/>
      <c r="H82" s="8"/>
      <c r="I82" s="103"/>
      <c r="J82" s="103"/>
      <c r="K82" s="103"/>
    </row>
    <row r="83" spans="1:11" ht="25.5">
      <c r="A83" s="32"/>
      <c r="B83" s="89" t="s">
        <v>1101</v>
      </c>
      <c r="C83" s="81" t="s">
        <v>40</v>
      </c>
      <c r="D83" s="80">
        <f>0.4*(3.35*10.6+11.83*8.62+3.8*6.3+4.45*6.27+1.83*2.25)</f>
        <v>77.377440000000007</v>
      </c>
      <c r="E83" s="16"/>
      <c r="F83" s="20">
        <f>D83*E83</f>
        <v>0</v>
      </c>
      <c r="G83" s="193"/>
      <c r="H83" s="8"/>
      <c r="I83" s="103"/>
      <c r="J83" s="103"/>
      <c r="K83" s="103"/>
    </row>
    <row r="84" spans="1:11">
      <c r="A84" s="32"/>
      <c r="B84" s="103"/>
      <c r="C84" s="22"/>
      <c r="D84" s="22"/>
      <c r="E84" s="22"/>
      <c r="F84" s="63"/>
      <c r="G84" s="186"/>
      <c r="I84" s="103"/>
      <c r="J84" s="103"/>
      <c r="K84" s="103"/>
    </row>
    <row r="85" spans="1:11" ht="63.75">
      <c r="A85" s="76" t="s">
        <v>137</v>
      </c>
      <c r="B85" s="22" t="s">
        <v>328</v>
      </c>
      <c r="C85" s="22"/>
      <c r="D85" s="22"/>
      <c r="E85" s="22"/>
      <c r="F85" s="63"/>
      <c r="G85" s="186"/>
      <c r="I85" s="103"/>
      <c r="J85" s="103"/>
      <c r="K85" s="103"/>
    </row>
    <row r="86" spans="1:11">
      <c r="A86" s="76"/>
      <c r="B86" s="103" t="s">
        <v>351</v>
      </c>
      <c r="C86" s="22"/>
      <c r="D86" s="22"/>
      <c r="E86" s="22"/>
      <c r="F86" s="63"/>
      <c r="G86" s="186"/>
      <c r="I86" s="103"/>
      <c r="J86" s="103"/>
      <c r="K86" s="103"/>
    </row>
    <row r="87" spans="1:11" ht="25.5">
      <c r="A87" s="32"/>
      <c r="B87" s="227" t="s">
        <v>300</v>
      </c>
      <c r="C87" s="129"/>
      <c r="D87" s="23"/>
      <c r="E87" s="22"/>
      <c r="F87" s="63"/>
      <c r="G87" s="186"/>
      <c r="I87" s="103"/>
      <c r="J87" s="103"/>
      <c r="K87" s="103"/>
    </row>
    <row r="88" spans="1:11" ht="25.5">
      <c r="A88" s="32"/>
      <c r="B88" s="148" t="s">
        <v>305</v>
      </c>
      <c r="C88" s="22"/>
      <c r="D88" s="22"/>
      <c r="E88" s="22"/>
      <c r="F88" s="63"/>
      <c r="G88" s="186"/>
      <c r="I88" s="103"/>
      <c r="J88" s="103"/>
      <c r="K88" s="103"/>
    </row>
    <row r="89" spans="1:11">
      <c r="A89" s="32"/>
      <c r="B89" s="148"/>
      <c r="C89" s="22"/>
      <c r="D89" s="22"/>
      <c r="E89" s="22"/>
      <c r="F89" s="63"/>
      <c r="G89" s="186"/>
      <c r="I89" s="103"/>
      <c r="J89" s="103"/>
      <c r="K89" s="103"/>
    </row>
    <row r="90" spans="1:11">
      <c r="A90" s="79"/>
      <c r="B90" s="22" t="s">
        <v>1102</v>
      </c>
      <c r="C90" s="22"/>
      <c r="D90" s="22"/>
      <c r="E90" s="22"/>
      <c r="F90" s="63"/>
      <c r="G90" s="186"/>
      <c r="I90" s="103"/>
      <c r="J90" s="103"/>
      <c r="K90" s="103"/>
    </row>
    <row r="91" spans="1:11">
      <c r="A91" s="32"/>
      <c r="B91" s="23" t="s">
        <v>1104</v>
      </c>
      <c r="C91" s="81" t="s">
        <v>40</v>
      </c>
      <c r="D91" s="80">
        <f>0.25*2.12*(4.97*2+4.64+3.57+3.06)</f>
        <v>11.241299999999999</v>
      </c>
      <c r="E91" s="16"/>
      <c r="F91" s="20">
        <f>D91*E91</f>
        <v>0</v>
      </c>
      <c r="G91" s="193"/>
      <c r="H91" s="8"/>
      <c r="I91" s="103"/>
      <c r="J91" s="103"/>
      <c r="K91" s="103"/>
    </row>
    <row r="92" spans="1:11">
      <c r="A92" s="32"/>
      <c r="B92" s="89"/>
      <c r="C92" s="81"/>
      <c r="D92" s="80"/>
      <c r="E92" s="16"/>
      <c r="F92" s="20"/>
      <c r="G92" s="193"/>
      <c r="H92" s="8"/>
      <c r="I92" s="103"/>
      <c r="J92" s="103"/>
      <c r="K92" s="103"/>
    </row>
    <row r="93" spans="1:11">
      <c r="A93" s="32"/>
      <c r="B93" s="22" t="s">
        <v>1103</v>
      </c>
      <c r="C93" s="81"/>
      <c r="D93" s="80"/>
      <c r="E93" s="16"/>
      <c r="F93" s="20"/>
      <c r="G93" s="193"/>
      <c r="H93" s="8"/>
      <c r="I93" s="103"/>
      <c r="J93" s="103"/>
      <c r="K93" s="103"/>
    </row>
    <row r="94" spans="1:11" ht="25.5">
      <c r="A94" s="198"/>
      <c r="B94" s="222" t="s">
        <v>1106</v>
      </c>
      <c r="C94" s="208" t="s">
        <v>40</v>
      </c>
      <c r="D94" s="203">
        <f>0.25*2.12*(1.55+1.2+5.15+0.5+3.79+14.17+5.67+6.47)</f>
        <v>20.405000000000001</v>
      </c>
      <c r="E94" s="207"/>
      <c r="F94" s="199">
        <f>D94*E94</f>
        <v>0</v>
      </c>
      <c r="G94" s="193"/>
      <c r="H94" s="8"/>
      <c r="I94" s="103"/>
      <c r="J94" s="103"/>
      <c r="K94" s="103"/>
    </row>
    <row r="95" spans="1:11">
      <c r="A95" s="32"/>
      <c r="B95" s="103"/>
      <c r="C95" s="22"/>
      <c r="D95" s="22"/>
      <c r="E95" s="22"/>
      <c r="F95" s="63"/>
      <c r="G95" s="186"/>
      <c r="I95" s="103"/>
      <c r="J95" s="103"/>
      <c r="K95" s="103"/>
    </row>
    <row r="96" spans="1:11" ht="63.75">
      <c r="A96" s="76" t="s">
        <v>86</v>
      </c>
      <c r="B96" s="22" t="s">
        <v>329</v>
      </c>
      <c r="C96" s="22"/>
      <c r="D96" s="22"/>
      <c r="E96" s="22"/>
      <c r="F96" s="63"/>
      <c r="G96" s="186"/>
      <c r="I96" s="103"/>
      <c r="J96" s="103"/>
      <c r="K96" s="103"/>
    </row>
    <row r="97" spans="1:11">
      <c r="A97" s="76"/>
      <c r="B97" s="103" t="s">
        <v>351</v>
      </c>
      <c r="C97" s="22"/>
      <c r="D97" s="22"/>
      <c r="E97" s="22"/>
      <c r="F97" s="63"/>
      <c r="G97" s="186"/>
      <c r="I97" s="103"/>
      <c r="J97" s="103"/>
      <c r="K97" s="103"/>
    </row>
    <row r="98" spans="1:11" ht="25.5">
      <c r="A98" s="32"/>
      <c r="B98" s="227" t="s">
        <v>300</v>
      </c>
      <c r="C98" s="129"/>
      <c r="D98" s="23"/>
      <c r="E98" s="22"/>
      <c r="F98" s="63"/>
      <c r="G98" s="186"/>
      <c r="I98" s="103"/>
      <c r="J98" s="103"/>
      <c r="K98" s="103"/>
    </row>
    <row r="99" spans="1:11" ht="25.5">
      <c r="A99" s="32"/>
      <c r="B99" s="148" t="s">
        <v>305</v>
      </c>
      <c r="C99" s="22"/>
      <c r="D99" s="22"/>
      <c r="E99" s="22"/>
      <c r="F99" s="63"/>
      <c r="G99" s="186"/>
      <c r="I99" s="103"/>
      <c r="J99" s="103"/>
      <c r="K99" s="103"/>
    </row>
    <row r="100" spans="1:11">
      <c r="A100" s="32"/>
      <c r="B100" s="148"/>
      <c r="C100" s="22"/>
      <c r="D100" s="22"/>
      <c r="E100" s="22"/>
      <c r="F100" s="63"/>
      <c r="G100" s="186"/>
      <c r="I100" s="103"/>
      <c r="J100" s="103"/>
      <c r="K100" s="103"/>
    </row>
    <row r="101" spans="1:11">
      <c r="A101" s="79"/>
      <c r="B101" s="22" t="s">
        <v>1102</v>
      </c>
      <c r="C101" s="22"/>
      <c r="D101" s="22"/>
      <c r="E101" s="22"/>
      <c r="F101" s="63"/>
      <c r="G101" s="186"/>
      <c r="I101" s="103"/>
      <c r="J101" s="103"/>
      <c r="K101" s="103"/>
    </row>
    <row r="102" spans="1:11" ht="25.5">
      <c r="A102" s="32"/>
      <c r="B102" s="23" t="s">
        <v>1105</v>
      </c>
      <c r="C102" s="81" t="s">
        <v>40</v>
      </c>
      <c r="D102" s="80">
        <f>0.2*2.12*(4.94+4.57+11.4+17.97+6.27+14.37+5.74+6.47+4.03+6)</f>
        <v>34.666240000000009</v>
      </c>
      <c r="E102" s="16"/>
      <c r="F102" s="20">
        <f>D102*E102</f>
        <v>0</v>
      </c>
      <c r="G102" s="193"/>
      <c r="H102" s="8"/>
      <c r="I102" s="103"/>
      <c r="J102" s="103"/>
      <c r="K102" s="103"/>
    </row>
    <row r="103" spans="1:11">
      <c r="A103" s="32"/>
      <c r="B103" s="89"/>
      <c r="C103" s="81"/>
      <c r="D103" s="80"/>
      <c r="E103" s="16"/>
      <c r="F103" s="20"/>
      <c r="G103" s="193"/>
      <c r="H103" s="8"/>
      <c r="I103" s="103"/>
      <c r="J103" s="103"/>
      <c r="K103" s="103"/>
    </row>
    <row r="104" spans="1:11">
      <c r="A104" s="32"/>
      <c r="B104" s="22" t="s">
        <v>1103</v>
      </c>
      <c r="C104" s="81"/>
      <c r="D104" s="80"/>
      <c r="E104" s="16"/>
      <c r="F104" s="20"/>
      <c r="G104" s="193"/>
      <c r="H104" s="8"/>
      <c r="I104" s="103"/>
      <c r="J104" s="103"/>
      <c r="K104" s="103"/>
    </row>
    <row r="105" spans="1:11" ht="38.25">
      <c r="A105" s="32"/>
      <c r="B105" s="23" t="s">
        <v>1107</v>
      </c>
      <c r="C105" s="81" t="s">
        <v>40</v>
      </c>
      <c r="D105" s="80">
        <f>0.2*2.12*(2.95+17.12+1.83+2.25+9.47+1+0.91+2.34+6+5.49+3+4.57+2.01+6.44+1*2+5.17+4.94)</f>
        <v>32.855760000000004</v>
      </c>
      <c r="E105" s="16"/>
      <c r="F105" s="20">
        <f>D105*E105</f>
        <v>0</v>
      </c>
      <c r="G105" s="193"/>
      <c r="H105" s="8"/>
      <c r="I105" s="103"/>
      <c r="J105" s="103"/>
      <c r="K105" s="103"/>
    </row>
    <row r="106" spans="1:11">
      <c r="A106" s="32"/>
      <c r="B106" s="103"/>
      <c r="C106" s="22"/>
      <c r="D106" s="22"/>
      <c r="E106" s="22"/>
      <c r="F106" s="63"/>
      <c r="G106" s="186"/>
      <c r="I106" s="103"/>
      <c r="J106" s="103"/>
      <c r="K106" s="103"/>
    </row>
    <row r="107" spans="1:11" ht="63.75">
      <c r="A107" s="76" t="s">
        <v>138</v>
      </c>
      <c r="B107" s="22" t="s">
        <v>330</v>
      </c>
      <c r="C107" s="22"/>
      <c r="D107" s="22"/>
      <c r="E107" s="22"/>
      <c r="F107" s="63"/>
      <c r="G107" s="186"/>
      <c r="I107" s="103"/>
      <c r="J107" s="103"/>
      <c r="K107" s="103"/>
    </row>
    <row r="108" spans="1:11" ht="25.5">
      <c r="A108" s="32"/>
      <c r="B108" s="227" t="s">
        <v>300</v>
      </c>
      <c r="C108" s="129"/>
      <c r="D108" s="23"/>
      <c r="E108" s="22"/>
      <c r="F108" s="63"/>
      <c r="G108" s="186"/>
      <c r="I108" s="103"/>
      <c r="J108" s="103"/>
      <c r="K108" s="103"/>
    </row>
    <row r="109" spans="1:11" ht="25.5">
      <c r="A109" s="32"/>
      <c r="B109" s="148" t="s">
        <v>305</v>
      </c>
      <c r="C109" s="22"/>
      <c r="D109" s="22"/>
      <c r="E109" s="22"/>
      <c r="F109" s="63"/>
      <c r="G109" s="186"/>
      <c r="I109" s="103"/>
      <c r="J109" s="103"/>
      <c r="K109" s="103"/>
    </row>
    <row r="110" spans="1:11">
      <c r="A110" s="79"/>
      <c r="B110" s="22"/>
      <c r="C110" s="22"/>
      <c r="D110" s="22"/>
      <c r="E110" s="22"/>
      <c r="F110" s="63"/>
      <c r="G110" s="186"/>
      <c r="I110" s="103"/>
      <c r="J110" s="103"/>
      <c r="K110" s="103"/>
    </row>
    <row r="111" spans="1:11">
      <c r="A111" s="32"/>
      <c r="B111" s="23" t="s">
        <v>1108</v>
      </c>
      <c r="C111" s="81" t="s">
        <v>40</v>
      </c>
      <c r="D111" s="80">
        <f>0.16*2.12*(3.76+1.75*2+2.92+2.92)</f>
        <v>4.4435199999999995</v>
      </c>
      <c r="E111" s="16"/>
      <c r="F111" s="20">
        <f>D111*E111</f>
        <v>0</v>
      </c>
      <c r="G111" s="193"/>
      <c r="H111" s="8"/>
      <c r="I111" s="103"/>
      <c r="J111" s="103"/>
      <c r="K111" s="103"/>
    </row>
    <row r="112" spans="1:11">
      <c r="A112" s="32"/>
      <c r="B112" s="22"/>
      <c r="C112" s="22"/>
      <c r="D112" s="80"/>
      <c r="E112" s="22"/>
      <c r="F112" s="63"/>
      <c r="G112" s="186"/>
      <c r="I112" s="103"/>
      <c r="J112" s="103"/>
      <c r="K112" s="103"/>
    </row>
    <row r="113" spans="1:11" ht="63.75">
      <c r="A113" s="76" t="s">
        <v>139</v>
      </c>
      <c r="B113" s="22" t="s">
        <v>860</v>
      </c>
      <c r="C113" s="22"/>
      <c r="D113" s="22"/>
      <c r="E113" s="22"/>
      <c r="F113" s="63"/>
      <c r="G113" s="186"/>
      <c r="I113" s="103"/>
      <c r="J113" s="103"/>
      <c r="K113" s="103"/>
    </row>
    <row r="114" spans="1:11" ht="25.5">
      <c r="A114" s="32"/>
      <c r="B114" s="227" t="s">
        <v>300</v>
      </c>
      <c r="C114" s="129"/>
      <c r="D114" s="23"/>
      <c r="E114" s="22"/>
      <c r="F114" s="63"/>
      <c r="G114" s="186"/>
      <c r="I114" s="103"/>
      <c r="J114" s="103"/>
      <c r="K114" s="103"/>
    </row>
    <row r="115" spans="1:11" ht="25.5">
      <c r="A115" s="32"/>
      <c r="B115" s="148" t="s">
        <v>305</v>
      </c>
      <c r="C115" s="22"/>
      <c r="D115" s="22"/>
      <c r="E115" s="22"/>
      <c r="F115" s="63"/>
      <c r="G115" s="186"/>
      <c r="I115" s="103"/>
      <c r="J115" s="103"/>
      <c r="K115" s="103"/>
    </row>
    <row r="116" spans="1:11">
      <c r="A116" s="79"/>
      <c r="B116" s="22"/>
      <c r="C116" s="22"/>
      <c r="D116" s="22"/>
      <c r="E116" s="22"/>
      <c r="F116" s="63"/>
      <c r="G116" s="186"/>
      <c r="I116" s="103"/>
      <c r="J116" s="103"/>
      <c r="K116" s="103"/>
    </row>
    <row r="117" spans="1:11">
      <c r="A117" s="198"/>
      <c r="B117" s="222" t="s">
        <v>1027</v>
      </c>
      <c r="C117" s="208" t="s">
        <v>40</v>
      </c>
      <c r="D117" s="203">
        <f>0.15*2.12*0.75*2</f>
        <v>0.47699999999999998</v>
      </c>
      <c r="E117" s="207"/>
      <c r="F117" s="199">
        <f>D117*E117</f>
        <v>0</v>
      </c>
      <c r="G117" s="193"/>
      <c r="I117" s="103"/>
      <c r="J117" s="103"/>
      <c r="K117" s="103"/>
    </row>
    <row r="118" spans="1:11">
      <c r="A118" s="32"/>
      <c r="B118" s="22"/>
      <c r="C118" s="22"/>
      <c r="D118" s="80"/>
      <c r="E118" s="22"/>
      <c r="F118" s="63"/>
      <c r="G118" s="186"/>
      <c r="I118" s="103"/>
      <c r="J118" s="103"/>
      <c r="K118" s="103"/>
    </row>
    <row r="119" spans="1:11" ht="63.75">
      <c r="A119" s="76" t="s">
        <v>74</v>
      </c>
      <c r="B119" s="22" t="s">
        <v>862</v>
      </c>
      <c r="C119" s="22"/>
      <c r="D119" s="22"/>
      <c r="E119" s="22"/>
      <c r="F119" s="63"/>
      <c r="G119" s="186"/>
      <c r="I119" s="103"/>
      <c r="J119" s="103"/>
      <c r="K119" s="103"/>
    </row>
    <row r="120" spans="1:11" ht="25.5">
      <c r="A120" s="32"/>
      <c r="B120" s="227" t="s">
        <v>300</v>
      </c>
      <c r="C120" s="129"/>
      <c r="D120" s="23"/>
      <c r="E120" s="22"/>
      <c r="F120" s="63"/>
      <c r="G120" s="186"/>
      <c r="I120" s="103"/>
      <c r="J120" s="103"/>
      <c r="K120" s="103"/>
    </row>
    <row r="121" spans="1:11" ht="25.5">
      <c r="A121" s="32"/>
      <c r="B121" s="27" t="s">
        <v>331</v>
      </c>
      <c r="C121" s="22"/>
      <c r="D121" s="22"/>
      <c r="E121" s="22"/>
      <c r="F121" s="63"/>
      <c r="G121" s="186"/>
      <c r="I121" s="103"/>
      <c r="J121" s="103"/>
      <c r="K121" s="103"/>
    </row>
    <row r="122" spans="1:11">
      <c r="A122" s="79"/>
      <c r="B122" s="27"/>
      <c r="C122" s="22"/>
      <c r="D122" s="22"/>
      <c r="E122" s="22"/>
      <c r="F122" s="63"/>
      <c r="G122" s="186"/>
      <c r="I122" s="103"/>
      <c r="J122" s="103"/>
      <c r="K122" s="103"/>
    </row>
    <row r="123" spans="1:11">
      <c r="A123" s="32"/>
      <c r="B123" s="23" t="s">
        <v>861</v>
      </c>
      <c r="C123" s="81" t="s">
        <v>40</v>
      </c>
      <c r="D123" s="80">
        <f>0.15*14.75*0.75*2</f>
        <v>3.3187499999999996</v>
      </c>
      <c r="E123" s="16"/>
      <c r="F123" s="20">
        <f>D123*E123</f>
        <v>0</v>
      </c>
      <c r="G123" s="186"/>
      <c r="I123" s="103"/>
      <c r="J123" s="103"/>
      <c r="K123" s="103"/>
    </row>
    <row r="124" spans="1:11">
      <c r="A124" s="32"/>
      <c r="B124" s="22"/>
      <c r="C124" s="22"/>
      <c r="D124" s="80"/>
      <c r="E124" s="22"/>
      <c r="F124" s="63"/>
      <c r="G124" s="186"/>
      <c r="I124" s="103"/>
      <c r="J124" s="103"/>
      <c r="K124" s="103"/>
    </row>
    <row r="125" spans="1:11" ht="63.75">
      <c r="A125" s="76" t="s">
        <v>75</v>
      </c>
      <c r="B125" s="22" t="s">
        <v>332</v>
      </c>
      <c r="C125" s="22"/>
      <c r="D125" s="22"/>
      <c r="E125" s="22"/>
      <c r="F125" s="63"/>
      <c r="G125" s="186"/>
      <c r="I125" s="103"/>
      <c r="J125" s="103"/>
      <c r="K125" s="103"/>
    </row>
    <row r="126" spans="1:11" ht="25.5">
      <c r="A126" s="32"/>
      <c r="B126" s="227" t="s">
        <v>300</v>
      </c>
      <c r="C126" s="129"/>
      <c r="D126" s="23"/>
      <c r="E126" s="22"/>
      <c r="F126" s="63"/>
      <c r="G126" s="186"/>
      <c r="I126" s="103"/>
      <c r="J126" s="103"/>
      <c r="K126" s="103"/>
    </row>
    <row r="127" spans="1:11" ht="25.5">
      <c r="A127" s="32"/>
      <c r="B127" s="27" t="s">
        <v>331</v>
      </c>
      <c r="C127" s="22"/>
      <c r="D127" s="22"/>
      <c r="E127" s="22"/>
      <c r="F127" s="63"/>
      <c r="G127" s="186"/>
      <c r="I127" s="103"/>
      <c r="J127" s="103"/>
      <c r="K127" s="103"/>
    </row>
    <row r="128" spans="1:11">
      <c r="A128" s="79"/>
      <c r="B128" s="23"/>
      <c r="C128" s="22"/>
      <c r="D128" s="22"/>
      <c r="E128" s="22"/>
      <c r="F128" s="63"/>
      <c r="G128" s="186"/>
      <c r="I128" s="103"/>
      <c r="J128" s="103"/>
      <c r="K128" s="103"/>
    </row>
    <row r="129" spans="1:11" ht="38.25">
      <c r="A129" s="32"/>
      <c r="B129" s="23" t="s">
        <v>807</v>
      </c>
      <c r="C129" s="81" t="s">
        <v>40</v>
      </c>
      <c r="D129" s="80">
        <f>0.16*16.16*(1.75*2+2.92*2)+0.16*(2.2+3.61)/2*3.2+0.16*11.8*4.57-0.16*1.18*2.4*4</f>
        <v>32.452543999999996</v>
      </c>
      <c r="E129" s="16"/>
      <c r="F129" s="20">
        <f>D129*E129</f>
        <v>0</v>
      </c>
      <c r="G129" s="193"/>
      <c r="H129" s="8"/>
      <c r="I129" s="103"/>
      <c r="J129" s="103"/>
      <c r="K129" s="103"/>
    </row>
    <row r="130" spans="1:11">
      <c r="A130" s="32"/>
      <c r="B130" s="22"/>
      <c r="C130" s="22"/>
      <c r="D130" s="80"/>
      <c r="E130" s="22"/>
      <c r="F130" s="63"/>
      <c r="G130" s="186"/>
      <c r="I130" s="103"/>
      <c r="J130" s="103"/>
      <c r="K130" s="103"/>
    </row>
    <row r="131" spans="1:11" ht="63.75">
      <c r="A131" s="76" t="s">
        <v>164</v>
      </c>
      <c r="B131" s="22" t="s">
        <v>306</v>
      </c>
      <c r="C131" s="22"/>
      <c r="D131" s="22"/>
      <c r="E131" s="22"/>
      <c r="F131" s="63"/>
      <c r="G131" s="186"/>
      <c r="I131" s="103"/>
      <c r="J131" s="103"/>
      <c r="K131" s="103"/>
    </row>
    <row r="132" spans="1:11" ht="25.5">
      <c r="A132" s="32"/>
      <c r="B132" s="227" t="s">
        <v>300</v>
      </c>
      <c r="C132" s="129"/>
      <c r="D132" s="23"/>
      <c r="E132" s="22"/>
      <c r="F132" s="63"/>
      <c r="G132" s="186"/>
      <c r="I132" s="103"/>
      <c r="J132" s="103"/>
      <c r="K132" s="103"/>
    </row>
    <row r="133" spans="1:11" ht="25.5">
      <c r="A133" s="32"/>
      <c r="B133" s="148" t="s">
        <v>331</v>
      </c>
      <c r="C133" s="22"/>
      <c r="D133" s="22"/>
      <c r="E133" s="22"/>
      <c r="F133" s="63"/>
      <c r="G133" s="186"/>
      <c r="I133" s="103"/>
      <c r="J133" s="103"/>
      <c r="K133" s="103"/>
    </row>
    <row r="134" spans="1:11">
      <c r="A134" s="79"/>
      <c r="B134" s="22"/>
      <c r="C134" s="22"/>
      <c r="D134" s="22"/>
      <c r="E134" s="22"/>
      <c r="F134" s="63"/>
      <c r="G134" s="186"/>
      <c r="I134" s="103"/>
      <c r="J134" s="103"/>
      <c r="K134" s="103"/>
    </row>
    <row r="135" spans="1:11" ht="89.25">
      <c r="A135" s="198"/>
      <c r="B135" s="222" t="s">
        <v>1111</v>
      </c>
      <c r="C135" s="208" t="s">
        <v>40</v>
      </c>
      <c r="D135" s="203">
        <f>0.2*16.16*2.92+0.2*14.75*(11.5+0.5+4.34+1.24+0.76+6.72+0.47+0.94+4.18+1.25+7.1+2.9+0.9+1.25+6.38+1.82+3+0.95)+0.2*2.95*3+0.2*(1.1+2.45)/2*(8.02+6.72)-0.2*(1*1.6*(9*4+7)+1*2.1*5+1*1*5+2.4*2.5+0.9*2.1)</f>
        <v>163.79214000000005</v>
      </c>
      <c r="E135" s="207"/>
      <c r="F135" s="199">
        <f>D135*E135</f>
        <v>0</v>
      </c>
      <c r="G135" s="193"/>
      <c r="I135" s="103"/>
      <c r="J135" s="103"/>
      <c r="K135" s="103"/>
    </row>
    <row r="136" spans="1:11">
      <c r="A136" s="32"/>
      <c r="B136" s="22"/>
      <c r="C136" s="22"/>
      <c r="D136" s="80"/>
      <c r="E136" s="22"/>
      <c r="F136" s="63"/>
      <c r="G136" s="186"/>
      <c r="I136" s="103"/>
      <c r="J136" s="103"/>
      <c r="K136" s="103"/>
    </row>
    <row r="137" spans="1:11" ht="63.75">
      <c r="A137" s="76" t="s">
        <v>188</v>
      </c>
      <c r="B137" s="22" t="s">
        <v>333</v>
      </c>
      <c r="C137" s="22"/>
      <c r="D137" s="22"/>
      <c r="E137" s="22"/>
      <c r="F137" s="63"/>
      <c r="G137" s="186"/>
      <c r="I137" s="400"/>
      <c r="J137" s="103"/>
      <c r="K137" s="103"/>
    </row>
    <row r="138" spans="1:11" ht="25.5">
      <c r="A138" s="32"/>
      <c r="B138" s="227" t="s">
        <v>300</v>
      </c>
      <c r="C138" s="129"/>
      <c r="D138" s="23"/>
      <c r="E138" s="22"/>
      <c r="F138" s="63"/>
      <c r="G138" s="186"/>
      <c r="I138" s="103"/>
      <c r="J138" s="103"/>
      <c r="K138" s="103"/>
    </row>
    <row r="139" spans="1:11" ht="25.5">
      <c r="A139" s="32"/>
      <c r="B139" s="148" t="s">
        <v>331</v>
      </c>
      <c r="C139" s="22"/>
      <c r="D139" s="22"/>
      <c r="E139" s="22"/>
      <c r="F139" s="63"/>
      <c r="G139" s="186"/>
      <c r="I139" s="103"/>
      <c r="J139" s="103"/>
      <c r="K139" s="103"/>
    </row>
    <row r="140" spans="1:11">
      <c r="A140" s="79"/>
      <c r="B140" s="22"/>
      <c r="C140" s="22"/>
      <c r="D140" s="22"/>
      <c r="E140" s="22"/>
      <c r="F140" s="63"/>
      <c r="G140" s="186"/>
      <c r="I140" s="103"/>
      <c r="J140" s="103"/>
      <c r="K140" s="103"/>
    </row>
    <row r="141" spans="1:11" ht="38.25">
      <c r="A141" s="32"/>
      <c r="B141" s="23" t="s">
        <v>824</v>
      </c>
      <c r="C141" s="81" t="s">
        <v>40</v>
      </c>
      <c r="D141" s="80">
        <f>0.25*2.95*(5.1+3.45+17.04)+0.25*11.8*(5.1+3.02+3.45+4.64)-0.25*(1*2.1*6+0.9*2.1+1.92*2.67)</f>
        <v>61.788025000000005</v>
      </c>
      <c r="E141" s="16"/>
      <c r="F141" s="20">
        <f>D141*E141</f>
        <v>0</v>
      </c>
      <c r="G141" s="193"/>
      <c r="H141" s="8"/>
      <c r="I141" s="103"/>
      <c r="J141" s="103"/>
      <c r="K141" s="103"/>
    </row>
    <row r="142" spans="1:11">
      <c r="A142" s="32"/>
      <c r="B142" s="23"/>
      <c r="C142" s="81"/>
      <c r="D142" s="78"/>
      <c r="E142" s="16"/>
      <c r="F142" s="20"/>
      <c r="G142" s="186"/>
      <c r="H142" s="8"/>
      <c r="I142" s="103"/>
      <c r="J142" s="103"/>
      <c r="K142" s="103"/>
    </row>
    <row r="143" spans="1:11" ht="51" customHeight="1">
      <c r="A143" s="76" t="s">
        <v>287</v>
      </c>
      <c r="B143" s="27" t="s">
        <v>312</v>
      </c>
      <c r="C143" s="22"/>
      <c r="D143" s="22"/>
      <c r="E143" s="22"/>
      <c r="F143" s="63"/>
      <c r="G143" s="186"/>
      <c r="I143" s="103"/>
      <c r="J143" s="103"/>
      <c r="K143" s="103"/>
    </row>
    <row r="144" spans="1:11" ht="25.5">
      <c r="A144" s="32"/>
      <c r="B144" s="226" t="s">
        <v>300</v>
      </c>
      <c r="C144" s="22"/>
      <c r="D144" s="22"/>
      <c r="E144" s="22"/>
      <c r="F144" s="63"/>
      <c r="G144" s="186"/>
      <c r="I144" s="103"/>
      <c r="J144" s="103"/>
      <c r="K144" s="103"/>
    </row>
    <row r="145" spans="1:11" ht="25.5">
      <c r="A145" s="32"/>
      <c r="B145" s="226" t="s">
        <v>275</v>
      </c>
      <c r="C145" s="22"/>
      <c r="D145" s="22"/>
      <c r="E145" s="22"/>
      <c r="F145" s="63"/>
      <c r="G145" s="186"/>
      <c r="I145" s="103"/>
      <c r="J145" s="103"/>
      <c r="K145" s="103"/>
    </row>
    <row r="146" spans="1:11" s="103" customFormat="1">
      <c r="A146" s="32"/>
      <c r="B146" s="22"/>
      <c r="C146" s="22"/>
      <c r="D146" s="22"/>
      <c r="E146" s="22"/>
      <c r="F146" s="63"/>
      <c r="G146" s="186"/>
    </row>
    <row r="147" spans="1:11">
      <c r="A147" s="104" t="s">
        <v>1244</v>
      </c>
      <c r="B147" s="22" t="s">
        <v>309</v>
      </c>
      <c r="C147" s="22"/>
      <c r="D147" s="22"/>
      <c r="E147" s="22"/>
      <c r="F147" s="63"/>
      <c r="G147" s="186"/>
      <c r="I147" s="103"/>
      <c r="J147" s="103"/>
      <c r="K147" s="103"/>
    </row>
    <row r="148" spans="1:11">
      <c r="A148" s="32"/>
      <c r="B148" s="23" t="s">
        <v>808</v>
      </c>
      <c r="C148" s="24" t="s">
        <v>40</v>
      </c>
      <c r="D148" s="22">
        <f>0.25*2.95*(0.5*2+0.9*4+1.1)*5</f>
        <v>21.018749999999997</v>
      </c>
      <c r="E148" s="27"/>
      <c r="F148" s="20">
        <f>D148*E148</f>
        <v>0</v>
      </c>
      <c r="G148" s="193"/>
      <c r="H148" s="124"/>
      <c r="I148" s="103"/>
      <c r="J148" s="103"/>
      <c r="K148" s="103"/>
    </row>
    <row r="149" spans="1:11">
      <c r="A149" s="32"/>
      <c r="B149" s="22"/>
      <c r="C149" s="24"/>
      <c r="D149" s="80"/>
      <c r="E149" s="27"/>
      <c r="F149" s="20"/>
      <c r="G149" s="186"/>
      <c r="H149" s="124"/>
      <c r="I149" s="103"/>
      <c r="J149" s="103"/>
      <c r="K149" s="103"/>
    </row>
    <row r="150" spans="1:11">
      <c r="A150" s="104" t="s">
        <v>1245</v>
      </c>
      <c r="B150" s="22" t="s">
        <v>173</v>
      </c>
      <c r="C150" s="22"/>
      <c r="D150" s="22"/>
      <c r="E150" s="22"/>
      <c r="F150" s="63"/>
      <c r="G150" s="186"/>
      <c r="I150" s="103"/>
      <c r="J150" s="103"/>
      <c r="K150" s="103"/>
    </row>
    <row r="151" spans="1:11" ht="25.5">
      <c r="A151" s="32"/>
      <c r="B151" s="23" t="s">
        <v>1181</v>
      </c>
      <c r="C151" s="81" t="s">
        <v>40</v>
      </c>
      <c r="D151" s="78">
        <f>0.25*0.25*2.95*5*2+0.2*0.2*(0.85*2+1.7*2+2.33)</f>
        <v>2.1409500000000001</v>
      </c>
      <c r="E151" s="19"/>
      <c r="F151" s="20">
        <f>D151*E151</f>
        <v>0</v>
      </c>
      <c r="G151" s="193"/>
      <c r="H151" s="124"/>
      <c r="I151" s="103"/>
      <c r="J151" s="103"/>
      <c r="K151" s="103"/>
    </row>
    <row r="152" spans="1:11">
      <c r="A152" s="32"/>
      <c r="B152" s="22"/>
      <c r="C152" s="24"/>
      <c r="D152" s="80"/>
      <c r="E152" s="27"/>
      <c r="F152" s="20"/>
      <c r="G152" s="186"/>
      <c r="H152" s="124"/>
      <c r="I152" s="103"/>
      <c r="J152" s="103"/>
      <c r="K152" s="103"/>
    </row>
    <row r="153" spans="1:11" ht="51">
      <c r="A153" s="76" t="s">
        <v>310</v>
      </c>
      <c r="B153" s="27" t="s">
        <v>319</v>
      </c>
      <c r="C153" s="22"/>
      <c r="D153" s="22"/>
      <c r="E153" s="22"/>
      <c r="F153" s="63"/>
      <c r="G153" s="186"/>
      <c r="H153" s="124"/>
      <c r="I153" s="103"/>
      <c r="J153" s="103"/>
      <c r="K153" s="103"/>
    </row>
    <row r="154" spans="1:11" ht="25.5">
      <c r="A154" s="76"/>
      <c r="B154" s="16" t="s">
        <v>300</v>
      </c>
      <c r="C154" s="22"/>
      <c r="D154" s="22"/>
      <c r="E154" s="22"/>
      <c r="F154" s="63"/>
      <c r="G154" s="186"/>
      <c r="H154" s="124"/>
      <c r="I154" s="103"/>
      <c r="J154" s="103"/>
      <c r="K154" s="103"/>
    </row>
    <row r="155" spans="1:11" ht="25.5">
      <c r="A155" s="198"/>
      <c r="B155" s="300" t="s">
        <v>275</v>
      </c>
      <c r="C155" s="196"/>
      <c r="D155" s="196"/>
      <c r="E155" s="196"/>
      <c r="F155" s="197"/>
      <c r="G155" s="186"/>
      <c r="H155" s="124"/>
      <c r="I155" s="103"/>
      <c r="J155" s="103"/>
      <c r="K155" s="103"/>
    </row>
    <row r="156" spans="1:11">
      <c r="A156" s="32"/>
      <c r="B156" s="22"/>
      <c r="C156" s="22"/>
      <c r="D156" s="22"/>
      <c r="E156" s="22"/>
      <c r="F156" s="63"/>
      <c r="G156" s="186"/>
      <c r="H156" s="124"/>
      <c r="I156" s="103"/>
      <c r="J156" s="103"/>
      <c r="K156" s="103"/>
    </row>
    <row r="157" spans="1:11">
      <c r="A157" s="104" t="s">
        <v>1028</v>
      </c>
      <c r="B157" s="22" t="s">
        <v>352</v>
      </c>
      <c r="C157" s="22"/>
      <c r="D157" s="22"/>
      <c r="E157" s="22"/>
      <c r="F157" s="63"/>
      <c r="G157" s="186"/>
      <c r="H157" s="124"/>
      <c r="I157" s="103"/>
      <c r="J157" s="103"/>
      <c r="K157" s="103"/>
    </row>
    <row r="158" spans="1:11" ht="51">
      <c r="A158" s="32"/>
      <c r="B158" s="23" t="s">
        <v>811</v>
      </c>
      <c r="C158" s="22"/>
      <c r="D158" s="80">
        <f>0.2*0.45*(6.27+6.37+2.6+2.7*2+2.4+5.59+2.7+2.9+4.53+4.86+2.4)*5+0.2*0.45*3+0.2*0.5*(6.27+6.37+2.6+2.7*2+2.4+5.59+2.7+2.9+4.53+4.86+2.4+3)</f>
        <v>25.881</v>
      </c>
      <c r="E158" s="22"/>
      <c r="F158" s="63"/>
      <c r="G158" s="186"/>
      <c r="H158" s="124"/>
      <c r="I158" s="103"/>
      <c r="J158" s="103"/>
      <c r="K158" s="103"/>
    </row>
    <row r="159" spans="1:11">
      <c r="A159" s="32"/>
      <c r="B159" s="23"/>
      <c r="C159" s="81"/>
      <c r="D159" s="78"/>
      <c r="E159" s="22"/>
      <c r="F159" s="63"/>
      <c r="G159" s="186"/>
      <c r="H159" s="124"/>
      <c r="I159" s="103"/>
      <c r="J159" s="103"/>
      <c r="K159" s="103"/>
    </row>
    <row r="160" spans="1:11">
      <c r="A160" s="32"/>
      <c r="B160" s="22" t="s">
        <v>353</v>
      </c>
      <c r="C160" s="22"/>
      <c r="D160" s="80"/>
      <c r="E160" s="22"/>
      <c r="F160" s="63"/>
      <c r="G160" s="186"/>
      <c r="H160" s="124"/>
      <c r="I160" s="103"/>
      <c r="J160" s="103"/>
      <c r="K160" s="103"/>
    </row>
    <row r="161" spans="1:11" ht="76.5">
      <c r="A161" s="32"/>
      <c r="B161" s="23" t="s">
        <v>810</v>
      </c>
      <c r="C161" s="22"/>
      <c r="D161" s="80">
        <f>0.25*0.45*(3.88+4.92+3.5+4.36+6.27*2+3.21+6.35+5.77+5.75)+0.2*0.45*(5.77+5.17+3.83+6.27+1.6+2.9*2+1.6*2)*5+0.2*0.3*3*5+0.25*0.45*(3.88+4.92+3.5+4.36+5.87+6.27*2+3.21+6.35+5.77+5.75)*4</f>
        <v>46.061999999999998</v>
      </c>
      <c r="E161" s="22"/>
      <c r="F161" s="63"/>
      <c r="G161" s="186"/>
      <c r="H161" s="124"/>
      <c r="I161" s="103"/>
      <c r="J161" s="103"/>
      <c r="K161" s="103"/>
    </row>
    <row r="162" spans="1:11">
      <c r="A162" s="32"/>
      <c r="B162" s="23"/>
      <c r="C162" s="22"/>
      <c r="D162" s="80"/>
      <c r="E162" s="22"/>
      <c r="F162" s="63"/>
      <c r="G162" s="186"/>
      <c r="H162" s="124"/>
      <c r="I162" s="103"/>
      <c r="J162" s="103"/>
      <c r="K162" s="103"/>
    </row>
    <row r="163" spans="1:11">
      <c r="A163" s="32"/>
      <c r="B163" s="23" t="s">
        <v>354</v>
      </c>
      <c r="C163" s="22"/>
      <c r="D163" s="80"/>
      <c r="E163" s="22"/>
      <c r="F163" s="63"/>
      <c r="G163" s="186"/>
      <c r="H163" s="124"/>
      <c r="I163" s="103"/>
      <c r="J163" s="103"/>
      <c r="K163" s="103"/>
    </row>
    <row r="164" spans="1:11" ht="25.5">
      <c r="A164" s="32"/>
      <c r="B164" s="23" t="s">
        <v>812</v>
      </c>
      <c r="C164" s="22"/>
      <c r="D164" s="80">
        <f>0.12*0.45*(1.56*10*5+2.94*3*5+2.7*2*5+3.45+1.56*2)</f>
        <v>8.4061799999999991</v>
      </c>
      <c r="E164" s="22"/>
      <c r="F164" s="63"/>
      <c r="G164" s="186"/>
      <c r="H164" s="124"/>
      <c r="I164" s="103"/>
      <c r="J164" s="103"/>
      <c r="K164" s="103"/>
    </row>
    <row r="165" spans="1:11">
      <c r="A165" s="32"/>
      <c r="B165" s="23"/>
      <c r="C165" s="22"/>
      <c r="D165" s="80"/>
      <c r="E165" s="22"/>
      <c r="F165" s="63"/>
      <c r="G165" s="186"/>
      <c r="H165" s="124"/>
      <c r="I165" s="103"/>
      <c r="J165" s="103"/>
      <c r="K165" s="103"/>
    </row>
    <row r="166" spans="1:11">
      <c r="A166" s="32"/>
      <c r="B166" s="23" t="s">
        <v>355</v>
      </c>
      <c r="C166" s="22"/>
      <c r="D166" s="80"/>
      <c r="E166" s="22"/>
      <c r="F166" s="63"/>
      <c r="G166" s="186"/>
      <c r="H166" s="124"/>
      <c r="I166" s="103"/>
      <c r="J166" s="103"/>
      <c r="K166" s="103"/>
    </row>
    <row r="167" spans="1:11">
      <c r="A167" s="32"/>
      <c r="B167" s="23" t="s">
        <v>813</v>
      </c>
      <c r="C167" s="81"/>
      <c r="D167" s="78">
        <f>0.15*1*(10.85+0.9)</f>
        <v>1.7625</v>
      </c>
      <c r="E167" s="22"/>
      <c r="F167" s="63"/>
      <c r="G167" s="186"/>
      <c r="H167" s="124"/>
      <c r="I167" s="103"/>
      <c r="J167" s="103"/>
      <c r="K167" s="103"/>
    </row>
    <row r="168" spans="1:11">
      <c r="A168" s="32"/>
      <c r="B168" s="23"/>
      <c r="C168" s="81"/>
      <c r="D168" s="78"/>
      <c r="E168" s="22"/>
      <c r="F168" s="63"/>
      <c r="G168" s="186"/>
      <c r="H168" s="124"/>
      <c r="I168" s="103"/>
      <c r="J168" s="103"/>
      <c r="K168" s="103"/>
    </row>
    <row r="169" spans="1:11">
      <c r="A169" s="32"/>
      <c r="B169" s="23" t="s">
        <v>1185</v>
      </c>
      <c r="C169" s="81"/>
      <c r="D169" s="78"/>
      <c r="E169" s="22"/>
      <c r="F169" s="63"/>
      <c r="G169" s="186"/>
      <c r="H169" s="124"/>
      <c r="I169" s="103"/>
      <c r="J169" s="103"/>
      <c r="K169" s="103"/>
    </row>
    <row r="170" spans="1:11">
      <c r="A170" s="32"/>
      <c r="B170" s="23" t="s">
        <v>1131</v>
      </c>
      <c r="C170" s="81"/>
      <c r="D170" s="78">
        <f>0.2*0.2*6.87*2</f>
        <v>0.54960000000000009</v>
      </c>
      <c r="E170" s="22"/>
      <c r="F170" s="63"/>
      <c r="G170" s="186"/>
      <c r="H170" s="124"/>
      <c r="I170" s="103"/>
      <c r="J170" s="103"/>
      <c r="K170" s="103"/>
    </row>
    <row r="171" spans="1:11">
      <c r="A171" s="32"/>
      <c r="B171" s="22"/>
      <c r="C171" s="22"/>
      <c r="D171" s="80"/>
      <c r="E171" s="22"/>
      <c r="F171" s="63"/>
      <c r="G171" s="186"/>
      <c r="H171" s="124"/>
      <c r="I171" s="103"/>
      <c r="J171" s="103"/>
      <c r="K171" s="103"/>
    </row>
    <row r="172" spans="1:11">
      <c r="A172" s="32"/>
      <c r="B172" s="22" t="s">
        <v>1246</v>
      </c>
      <c r="C172" s="24" t="s">
        <v>40</v>
      </c>
      <c r="D172" s="22">
        <f>SUM(D158:D170)</f>
        <v>82.661279999999991</v>
      </c>
      <c r="E172" s="27"/>
      <c r="F172" s="20">
        <f>D172*E172</f>
        <v>0</v>
      </c>
      <c r="G172" s="186"/>
      <c r="H172" s="124"/>
      <c r="I172" s="103"/>
      <c r="J172" s="103"/>
      <c r="K172" s="103"/>
    </row>
    <row r="173" spans="1:11">
      <c r="A173" s="32"/>
      <c r="B173" s="22"/>
      <c r="C173" s="22"/>
      <c r="D173" s="22"/>
      <c r="E173" s="22"/>
      <c r="F173" s="63"/>
      <c r="G173" s="186"/>
      <c r="H173" s="124"/>
      <c r="I173" s="103"/>
      <c r="J173" s="103"/>
      <c r="K173" s="103"/>
    </row>
    <row r="174" spans="1:11">
      <c r="A174" s="79" t="s">
        <v>1029</v>
      </c>
      <c r="B174" s="22" t="s">
        <v>320</v>
      </c>
      <c r="C174" s="22"/>
      <c r="D174" s="22"/>
      <c r="E174" s="22"/>
      <c r="F174" s="63"/>
      <c r="G174" s="186"/>
      <c r="H174" s="124"/>
      <c r="I174" s="103"/>
      <c r="J174" s="103"/>
      <c r="K174" s="103"/>
    </row>
    <row r="175" spans="1:11">
      <c r="A175" s="104"/>
      <c r="B175" s="23" t="s">
        <v>814</v>
      </c>
      <c r="C175" s="24" t="s">
        <v>40</v>
      </c>
      <c r="D175" s="80">
        <f>0.2*0.25*(1.4+1.2*3+1.4*4+1.2*4*4)</f>
        <v>1.49</v>
      </c>
      <c r="E175" s="27"/>
      <c r="F175" s="20">
        <f>D175*E175</f>
        <v>0</v>
      </c>
      <c r="G175" s="186"/>
      <c r="H175" s="124"/>
      <c r="I175" s="103"/>
      <c r="J175" s="103"/>
      <c r="K175" s="103"/>
    </row>
    <row r="176" spans="1:11">
      <c r="A176" s="104"/>
      <c r="B176" s="23"/>
      <c r="C176" s="24"/>
      <c r="D176" s="80"/>
      <c r="E176" s="27"/>
      <c r="F176" s="20"/>
      <c r="G176" s="186"/>
      <c r="H176" s="124"/>
      <c r="I176" s="103"/>
      <c r="J176" s="103"/>
      <c r="K176" s="103"/>
    </row>
    <row r="177" spans="1:11" ht="63.75">
      <c r="A177" s="76" t="s">
        <v>311</v>
      </c>
      <c r="B177" s="22" t="s">
        <v>1020</v>
      </c>
      <c r="C177" s="24"/>
      <c r="D177" s="80"/>
      <c r="E177" s="27"/>
      <c r="F177" s="20"/>
      <c r="G177" s="186"/>
      <c r="H177" s="124"/>
      <c r="I177" s="103"/>
      <c r="J177" s="103"/>
      <c r="K177" s="103"/>
    </row>
    <row r="178" spans="1:11">
      <c r="A178" s="104"/>
      <c r="B178" s="301" t="s">
        <v>290</v>
      </c>
      <c r="C178" s="24"/>
      <c r="D178" s="80"/>
      <c r="E178" s="27"/>
      <c r="F178" s="20"/>
      <c r="G178" s="186"/>
      <c r="H178" s="124"/>
      <c r="I178" s="103"/>
      <c r="J178" s="103"/>
      <c r="K178" s="103"/>
    </row>
    <row r="179" spans="1:11">
      <c r="A179" s="104"/>
      <c r="B179" s="301"/>
      <c r="C179" s="24"/>
      <c r="D179" s="80"/>
      <c r="E179" s="27"/>
      <c r="F179" s="20"/>
      <c r="G179" s="186"/>
      <c r="H179" s="124"/>
      <c r="I179" s="103"/>
      <c r="J179" s="103"/>
      <c r="K179" s="103"/>
    </row>
    <row r="180" spans="1:11">
      <c r="A180" s="104"/>
      <c r="B180" s="22" t="s">
        <v>27</v>
      </c>
      <c r="C180" s="24"/>
      <c r="D180" s="80"/>
      <c r="E180" s="27"/>
      <c r="F180" s="20"/>
      <c r="G180" s="186"/>
      <c r="H180" s="124"/>
      <c r="I180" s="103"/>
      <c r="J180" s="103"/>
      <c r="K180" s="103"/>
    </row>
    <row r="181" spans="1:11">
      <c r="A181" s="104"/>
      <c r="B181" s="23" t="s">
        <v>1017</v>
      </c>
      <c r="C181" s="24"/>
      <c r="D181" s="80">
        <f>0.1*0.2*0.9*6</f>
        <v>0.10800000000000004</v>
      </c>
      <c r="E181" s="27"/>
      <c r="F181" s="20"/>
      <c r="G181" s="186"/>
      <c r="H181" s="124"/>
      <c r="I181" s="103"/>
      <c r="J181" s="103"/>
      <c r="K181" s="103"/>
    </row>
    <row r="182" spans="1:11">
      <c r="A182" s="104"/>
      <c r="B182" s="22"/>
      <c r="C182" s="24"/>
      <c r="D182" s="80"/>
      <c r="E182" s="27"/>
      <c r="F182" s="20"/>
      <c r="G182" s="186"/>
      <c r="H182" s="124"/>
      <c r="I182" s="103"/>
      <c r="J182" s="103"/>
      <c r="K182" s="103"/>
    </row>
    <row r="183" spans="1:11">
      <c r="A183" s="104"/>
      <c r="B183" s="22" t="s">
        <v>360</v>
      </c>
      <c r="C183" s="24"/>
      <c r="D183" s="80"/>
      <c r="E183" s="27"/>
      <c r="F183" s="20"/>
      <c r="G183" s="186"/>
      <c r="H183" s="124"/>
      <c r="I183" s="103"/>
      <c r="J183" s="103"/>
      <c r="K183" s="103"/>
    </row>
    <row r="184" spans="1:11">
      <c r="A184" s="104"/>
      <c r="B184" s="23" t="s">
        <v>1018</v>
      </c>
      <c r="C184" s="24"/>
      <c r="D184" s="80">
        <f>0.1*0.2*0.9*7</f>
        <v>0.12600000000000003</v>
      </c>
      <c r="E184" s="27"/>
      <c r="F184" s="20"/>
      <c r="G184" s="186"/>
      <c r="H184" s="124"/>
      <c r="I184" s="103"/>
      <c r="J184" s="103"/>
      <c r="K184" s="103"/>
    </row>
    <row r="185" spans="1:11">
      <c r="A185" s="104"/>
      <c r="B185" s="22"/>
      <c r="C185" s="24"/>
      <c r="D185" s="80"/>
      <c r="E185" s="27"/>
      <c r="F185" s="20"/>
      <c r="G185" s="186"/>
      <c r="H185" s="124"/>
      <c r="I185" s="103"/>
      <c r="J185" s="103"/>
      <c r="K185" s="103"/>
    </row>
    <row r="186" spans="1:11">
      <c r="A186" s="104"/>
      <c r="B186" s="22" t="s">
        <v>361</v>
      </c>
      <c r="C186" s="24"/>
      <c r="D186" s="80"/>
      <c r="E186" s="27"/>
      <c r="F186" s="20"/>
      <c r="G186" s="186"/>
      <c r="H186" s="124"/>
      <c r="I186" s="103"/>
      <c r="J186" s="103"/>
      <c r="K186" s="103"/>
    </row>
    <row r="187" spans="1:11">
      <c r="A187" s="104"/>
      <c r="B187" s="23" t="s">
        <v>1019</v>
      </c>
      <c r="C187" s="24"/>
      <c r="D187" s="80">
        <f>0.1*0.2*0.9*7*3</f>
        <v>0.37800000000000011</v>
      </c>
      <c r="E187" s="27"/>
      <c r="F187" s="20"/>
      <c r="G187" s="186"/>
      <c r="H187" s="124"/>
      <c r="I187" s="103"/>
      <c r="J187" s="103"/>
      <c r="K187" s="103"/>
    </row>
    <row r="188" spans="1:11">
      <c r="A188" s="104"/>
      <c r="B188" s="23"/>
      <c r="C188" s="24"/>
      <c r="D188" s="80"/>
      <c r="E188" s="27"/>
      <c r="F188" s="20"/>
      <c r="G188" s="186"/>
      <c r="H188" s="124"/>
      <c r="I188" s="103"/>
      <c r="J188" s="103"/>
      <c r="K188" s="103"/>
    </row>
    <row r="189" spans="1:11">
      <c r="A189" s="200"/>
      <c r="B189" s="196" t="s">
        <v>1247</v>
      </c>
      <c r="C189" s="202" t="s">
        <v>40</v>
      </c>
      <c r="D189" s="203">
        <f>SUM(D181:D187)</f>
        <v>0.61200000000000021</v>
      </c>
      <c r="E189" s="201"/>
      <c r="F189" s="199">
        <f>D189*E189</f>
        <v>0</v>
      </c>
      <c r="G189" s="186"/>
      <c r="H189" s="124"/>
      <c r="I189" s="103"/>
      <c r="J189" s="103"/>
      <c r="K189" s="103"/>
    </row>
    <row r="190" spans="1:11">
      <c r="A190" s="32"/>
      <c r="B190" s="103"/>
      <c r="C190" s="24"/>
      <c r="D190" s="80"/>
      <c r="E190" s="27"/>
      <c r="F190" s="20"/>
      <c r="G190" s="186"/>
      <c r="H190" s="124"/>
      <c r="I190" s="103"/>
      <c r="J190" s="103"/>
      <c r="K190" s="103"/>
    </row>
    <row r="191" spans="1:11" ht="51">
      <c r="A191" s="76" t="s">
        <v>313</v>
      </c>
      <c r="B191" s="227" t="s">
        <v>325</v>
      </c>
      <c r="C191" s="22"/>
      <c r="D191" s="22"/>
      <c r="E191" s="22"/>
      <c r="F191" s="63"/>
      <c r="G191" s="186"/>
      <c r="I191" s="400"/>
      <c r="J191" s="400"/>
      <c r="K191" s="103"/>
    </row>
    <row r="192" spans="1:11" ht="25.5">
      <c r="A192" s="32"/>
      <c r="B192" s="227" t="s">
        <v>300</v>
      </c>
      <c r="C192" s="22"/>
      <c r="D192" s="22"/>
      <c r="E192" s="22"/>
      <c r="F192" s="63"/>
      <c r="G192" s="186"/>
      <c r="I192" s="103"/>
      <c r="J192" s="103"/>
      <c r="K192" s="103"/>
    </row>
    <row r="193" spans="1:11">
      <c r="A193" s="32"/>
      <c r="B193" s="237" t="s">
        <v>290</v>
      </c>
      <c r="C193" s="22"/>
      <c r="D193" s="22"/>
      <c r="E193" s="22"/>
      <c r="F193" s="63"/>
      <c r="G193" s="186"/>
      <c r="I193" s="103"/>
      <c r="J193" s="103"/>
      <c r="K193" s="103"/>
    </row>
    <row r="194" spans="1:11">
      <c r="A194" s="32"/>
      <c r="B194" s="8"/>
      <c r="C194" s="22"/>
      <c r="D194" s="22"/>
      <c r="E194" s="22"/>
      <c r="F194" s="63"/>
      <c r="G194" s="186"/>
      <c r="I194" s="103"/>
      <c r="J194" s="103"/>
      <c r="K194" s="103"/>
    </row>
    <row r="195" spans="1:11" ht="25.5">
      <c r="A195" s="32"/>
      <c r="B195" s="23" t="s">
        <v>1215</v>
      </c>
      <c r="C195" s="81" t="s">
        <v>40</v>
      </c>
      <c r="D195" s="78">
        <f>0.18*457.83-0.18*(1.75*2.6+1.3*3.8+0.6*0.6+0.6*2.1)</f>
        <v>80.409599999999998</v>
      </c>
      <c r="E195" s="16"/>
      <c r="F195" s="130">
        <f>D195*E195</f>
        <v>0</v>
      </c>
      <c r="G195" s="193"/>
      <c r="H195" s="158"/>
      <c r="I195" s="103"/>
      <c r="J195" s="103"/>
      <c r="K195" s="103"/>
    </row>
    <row r="196" spans="1:11">
      <c r="A196" s="32"/>
      <c r="B196" s="22"/>
      <c r="C196" s="24"/>
      <c r="D196" s="80"/>
      <c r="E196" s="27"/>
      <c r="F196" s="20"/>
      <c r="G196" s="186"/>
      <c r="H196" s="124"/>
      <c r="I196" s="103"/>
      <c r="J196" s="103"/>
      <c r="K196" s="103"/>
    </row>
    <row r="197" spans="1:11" ht="63.75">
      <c r="A197" s="76" t="s">
        <v>1248</v>
      </c>
      <c r="B197" s="302" t="s">
        <v>317</v>
      </c>
      <c r="C197" s="24"/>
      <c r="D197" s="80"/>
      <c r="E197" s="27"/>
      <c r="F197" s="20"/>
      <c r="G197" s="186"/>
      <c r="H197" s="124"/>
      <c r="I197" s="248"/>
      <c r="J197" s="103"/>
      <c r="K197" s="103"/>
    </row>
    <row r="198" spans="1:11" ht="25.5">
      <c r="A198" s="76"/>
      <c r="B198" s="226" t="s">
        <v>300</v>
      </c>
      <c r="C198" s="24"/>
      <c r="D198" s="80"/>
      <c r="E198" s="27"/>
      <c r="F198" s="20"/>
      <c r="G198" s="186"/>
      <c r="H198" s="124"/>
      <c r="I198" s="103"/>
      <c r="J198" s="103"/>
      <c r="K198" s="103"/>
    </row>
    <row r="199" spans="1:11" ht="38.25">
      <c r="A199" s="32"/>
      <c r="B199" s="302" t="s">
        <v>1186</v>
      </c>
      <c r="C199" s="24"/>
      <c r="D199" s="80"/>
      <c r="E199" s="27"/>
      <c r="F199" s="20"/>
      <c r="G199" s="186"/>
      <c r="H199" s="124"/>
      <c r="I199" s="103"/>
      <c r="J199" s="103"/>
      <c r="K199" s="103"/>
    </row>
    <row r="200" spans="1:11">
      <c r="A200" s="32"/>
      <c r="B200" s="22"/>
      <c r="C200" s="24"/>
      <c r="D200" s="80"/>
      <c r="E200" s="27"/>
      <c r="F200" s="20"/>
      <c r="G200" s="186"/>
      <c r="H200" s="124"/>
      <c r="I200" s="103"/>
      <c r="J200" s="103"/>
      <c r="K200" s="103"/>
    </row>
    <row r="201" spans="1:11" ht="38.25">
      <c r="A201" s="32"/>
      <c r="B201" s="23" t="s">
        <v>1216</v>
      </c>
      <c r="C201" s="81" t="s">
        <v>40</v>
      </c>
      <c r="D201" s="10">
        <f>0.18*(457.83*4-(1.75*2.6+3*3.8+0.6*0.6+0.6*2.1+1.6*1.75)*4+459.63-1.75*2.6)</f>
        <v>396.8855999999999</v>
      </c>
      <c r="E201" s="16"/>
      <c r="F201" s="20">
        <f>D201*E201</f>
        <v>0</v>
      </c>
      <c r="G201" s="193"/>
      <c r="H201" s="124"/>
      <c r="I201" s="103"/>
      <c r="J201" s="103"/>
      <c r="K201" s="103"/>
    </row>
    <row r="202" spans="1:11">
      <c r="A202" s="32"/>
      <c r="B202" s="22"/>
      <c r="C202" s="13"/>
      <c r="D202" s="10"/>
      <c r="E202" s="27"/>
      <c r="F202" s="20"/>
      <c r="G202" s="186"/>
      <c r="H202" s="124"/>
      <c r="I202" s="103"/>
      <c r="J202" s="103"/>
      <c r="K202" s="103"/>
    </row>
    <row r="203" spans="1:11" ht="63.75">
      <c r="A203" s="76" t="s">
        <v>315</v>
      </c>
      <c r="B203" s="302" t="s">
        <v>359</v>
      </c>
      <c r="C203" s="24"/>
      <c r="D203" s="80"/>
      <c r="E203" s="27"/>
      <c r="F203" s="20"/>
      <c r="G203" s="186"/>
      <c r="H203" s="124"/>
      <c r="I203" s="103"/>
      <c r="J203" s="103"/>
      <c r="K203" s="103"/>
    </row>
    <row r="204" spans="1:11" ht="25.5">
      <c r="A204" s="76"/>
      <c r="B204" s="226" t="s">
        <v>300</v>
      </c>
      <c r="C204" s="24"/>
      <c r="D204" s="80"/>
      <c r="E204" s="27"/>
      <c r="F204" s="20"/>
      <c r="G204" s="186"/>
      <c r="H204" s="124"/>
      <c r="I204" s="103"/>
      <c r="J204" s="103"/>
      <c r="K204" s="103"/>
    </row>
    <row r="205" spans="1:11" ht="38.25">
      <c r="A205" s="32"/>
      <c r="B205" s="302" t="s">
        <v>1186</v>
      </c>
      <c r="C205" s="24"/>
      <c r="D205" s="80"/>
      <c r="E205" s="27"/>
      <c r="F205" s="20"/>
      <c r="G205" s="186"/>
      <c r="H205" s="124"/>
      <c r="I205" s="103"/>
      <c r="J205" s="103"/>
      <c r="K205" s="103"/>
    </row>
    <row r="206" spans="1:11">
      <c r="A206" s="32"/>
      <c r="B206" s="22"/>
      <c r="C206" s="24"/>
      <c r="D206" s="80"/>
      <c r="E206" s="27"/>
      <c r="F206" s="20"/>
      <c r="G206" s="186"/>
      <c r="H206" s="124"/>
      <c r="I206" s="103"/>
      <c r="J206" s="103"/>
      <c r="K206" s="103"/>
    </row>
    <row r="207" spans="1:11">
      <c r="A207" s="32"/>
      <c r="B207" s="23" t="s">
        <v>1217</v>
      </c>
      <c r="C207" s="81" t="s">
        <v>40</v>
      </c>
      <c r="D207" s="10">
        <f>0.2*2.92*2.1</f>
        <v>1.2263999999999999</v>
      </c>
      <c r="E207" s="16"/>
      <c r="F207" s="20">
        <f>D207*E207</f>
        <v>0</v>
      </c>
      <c r="G207" s="193"/>
      <c r="H207" s="124"/>
      <c r="I207" s="103"/>
      <c r="J207" s="103"/>
      <c r="K207" s="103"/>
    </row>
    <row r="208" spans="1:11">
      <c r="A208" s="32"/>
      <c r="B208" s="22"/>
      <c r="C208" s="13"/>
      <c r="D208" s="10"/>
      <c r="E208" s="27"/>
      <c r="F208" s="20"/>
      <c r="G208" s="186"/>
      <c r="H208" s="124"/>
      <c r="I208" s="103"/>
      <c r="J208" s="103"/>
      <c r="K208" s="103"/>
    </row>
    <row r="209" spans="1:11" ht="63.75">
      <c r="A209" s="76" t="s">
        <v>758</v>
      </c>
      <c r="B209" s="302" t="s">
        <v>1133</v>
      </c>
      <c r="C209" s="24"/>
      <c r="D209" s="80"/>
      <c r="E209" s="27"/>
      <c r="F209" s="20"/>
      <c r="G209" s="186"/>
      <c r="H209" s="124"/>
      <c r="I209" s="103"/>
      <c r="J209" s="103"/>
      <c r="K209" s="103"/>
    </row>
    <row r="210" spans="1:11" ht="25.5">
      <c r="A210" s="76"/>
      <c r="B210" s="226" t="s">
        <v>300</v>
      </c>
      <c r="C210" s="24"/>
      <c r="D210" s="80"/>
      <c r="E210" s="27"/>
      <c r="F210" s="20"/>
      <c r="G210" s="186"/>
      <c r="H210" s="124"/>
      <c r="I210" s="103"/>
      <c r="J210" s="103"/>
      <c r="K210" s="103"/>
    </row>
    <row r="211" spans="1:11">
      <c r="A211" s="32"/>
      <c r="B211" s="302" t="s">
        <v>1187</v>
      </c>
      <c r="C211" s="24"/>
      <c r="D211" s="80"/>
      <c r="E211" s="27"/>
      <c r="F211" s="20"/>
      <c r="G211" s="186"/>
      <c r="H211" s="124"/>
      <c r="I211" s="103"/>
      <c r="J211" s="103"/>
      <c r="K211" s="103"/>
    </row>
    <row r="212" spans="1:11">
      <c r="A212" s="32"/>
      <c r="B212" s="22"/>
      <c r="C212" s="24"/>
      <c r="D212" s="80"/>
      <c r="E212" s="27"/>
      <c r="F212" s="20"/>
      <c r="G212" s="186"/>
      <c r="H212" s="124"/>
      <c r="I212" s="103"/>
      <c r="J212" s="103"/>
      <c r="K212" s="103"/>
    </row>
    <row r="213" spans="1:11">
      <c r="A213" s="198"/>
      <c r="B213" s="222" t="s">
        <v>809</v>
      </c>
      <c r="C213" s="208" t="s">
        <v>40</v>
      </c>
      <c r="D213" s="215">
        <f>2.92*2.1</f>
        <v>6.1319999999999997</v>
      </c>
      <c r="E213" s="207"/>
      <c r="F213" s="199">
        <f>D213*E213</f>
        <v>0</v>
      </c>
      <c r="G213" s="193"/>
      <c r="H213" s="124"/>
      <c r="I213" s="103"/>
      <c r="J213" s="103"/>
      <c r="K213" s="103"/>
    </row>
    <row r="214" spans="1:11">
      <c r="A214" s="32"/>
      <c r="B214" s="22"/>
      <c r="C214" s="13"/>
      <c r="D214" s="10"/>
      <c r="E214" s="27"/>
      <c r="F214" s="20"/>
      <c r="G214" s="186"/>
      <c r="H214" s="124"/>
      <c r="I214" s="103"/>
      <c r="J214" s="103"/>
      <c r="K214" s="103"/>
    </row>
    <row r="215" spans="1:11" ht="51">
      <c r="A215" s="76" t="s">
        <v>759</v>
      </c>
      <c r="B215" s="302" t="s">
        <v>358</v>
      </c>
      <c r="C215" s="24"/>
      <c r="D215" s="80"/>
      <c r="E215" s="27"/>
      <c r="F215" s="20"/>
      <c r="G215" s="186"/>
      <c r="H215" s="124"/>
      <c r="I215" s="248"/>
      <c r="J215" s="103"/>
      <c r="K215" s="103"/>
    </row>
    <row r="216" spans="1:11" ht="25.5">
      <c r="A216" s="76"/>
      <c r="B216" s="226" t="s">
        <v>300</v>
      </c>
      <c r="C216" s="24"/>
      <c r="D216" s="80"/>
      <c r="E216" s="27"/>
      <c r="F216" s="20"/>
      <c r="G216" s="186"/>
      <c r="H216" s="124"/>
      <c r="I216" s="103"/>
      <c r="J216" s="103"/>
      <c r="K216" s="103"/>
    </row>
    <row r="217" spans="1:11" ht="38.25">
      <c r="A217" s="32"/>
      <c r="B217" s="302" t="s">
        <v>1186</v>
      </c>
      <c r="C217" s="24"/>
      <c r="D217" s="80"/>
      <c r="E217" s="27"/>
      <c r="F217" s="20"/>
      <c r="G217" s="186"/>
      <c r="H217" s="124"/>
      <c r="I217" s="103"/>
      <c r="J217" s="103"/>
      <c r="K217" s="103"/>
    </row>
    <row r="218" spans="1:11">
      <c r="A218" s="32"/>
      <c r="B218" s="22"/>
      <c r="C218" s="24"/>
      <c r="D218" s="80"/>
      <c r="E218" s="27"/>
      <c r="F218" s="20"/>
      <c r="G218" s="186"/>
      <c r="H218" s="124"/>
      <c r="I218" s="103"/>
      <c r="J218" s="103"/>
      <c r="K218" s="103"/>
    </row>
    <row r="219" spans="1:11">
      <c r="A219" s="32"/>
      <c r="B219" s="22" t="s">
        <v>356</v>
      </c>
      <c r="C219" s="24"/>
      <c r="D219" s="80"/>
      <c r="E219" s="27"/>
      <c r="F219" s="20"/>
      <c r="G219" s="186"/>
      <c r="H219" s="124"/>
      <c r="I219" s="103"/>
      <c r="J219" s="103"/>
      <c r="K219" s="103"/>
    </row>
    <row r="220" spans="1:11">
      <c r="A220" s="32"/>
      <c r="B220" s="23" t="s">
        <v>1218</v>
      </c>
      <c r="C220" s="81" t="s">
        <v>40</v>
      </c>
      <c r="D220" s="10">
        <f>0.15*1.42*2.7*4*5+0.15*1.42*2.4*5</f>
        <v>14.058</v>
      </c>
      <c r="E220" s="27"/>
      <c r="F220" s="20">
        <f>D220*E220</f>
        <v>0</v>
      </c>
      <c r="G220" s="193"/>
      <c r="H220" s="124"/>
      <c r="I220" s="103"/>
      <c r="J220" s="103"/>
      <c r="K220" s="103"/>
    </row>
    <row r="221" spans="1:11">
      <c r="A221" s="32"/>
      <c r="B221" s="23"/>
      <c r="C221" s="13"/>
      <c r="D221" s="10"/>
      <c r="E221" s="27"/>
      <c r="F221" s="20"/>
      <c r="G221" s="186"/>
      <c r="H221" s="124"/>
      <c r="I221" s="103"/>
      <c r="J221" s="103"/>
      <c r="K221" s="103"/>
    </row>
    <row r="222" spans="1:11">
      <c r="A222" s="32"/>
      <c r="B222" s="22" t="s">
        <v>357</v>
      </c>
      <c r="C222" s="13"/>
      <c r="D222" s="10"/>
      <c r="E222" s="27"/>
      <c r="F222" s="20"/>
      <c r="G222" s="186"/>
      <c r="H222" s="124"/>
      <c r="I222" s="103"/>
      <c r="J222" s="103"/>
      <c r="K222" s="103"/>
    </row>
    <row r="223" spans="1:11" ht="25.5">
      <c r="A223" s="32"/>
      <c r="B223" s="23" t="s">
        <v>1219</v>
      </c>
      <c r="C223" s="81" t="s">
        <v>40</v>
      </c>
      <c r="D223" s="10">
        <f>0.15*(0.97*10.95+0.95*3+0.35*(4.85+14+6.55+17.77)-0.5*(1.45+1.1*6))</f>
        <v>3.6833999999999993</v>
      </c>
      <c r="E223" s="16"/>
      <c r="F223" s="20">
        <f>D223*E223</f>
        <v>0</v>
      </c>
      <c r="G223" s="193"/>
      <c r="H223" s="124"/>
      <c r="I223" s="103"/>
      <c r="J223" s="103"/>
      <c r="K223" s="103"/>
    </row>
    <row r="224" spans="1:11">
      <c r="A224" s="32"/>
      <c r="B224" s="22"/>
      <c r="C224" s="13"/>
      <c r="D224" s="10"/>
      <c r="E224" s="27"/>
      <c r="F224" s="20"/>
      <c r="G224" s="186"/>
      <c r="H224" s="124"/>
      <c r="I224" s="103"/>
      <c r="J224" s="103"/>
      <c r="K224" s="103"/>
    </row>
    <row r="225" spans="1:11" ht="63.75">
      <c r="A225" s="76" t="s">
        <v>760</v>
      </c>
      <c r="B225" s="27" t="s">
        <v>318</v>
      </c>
      <c r="C225" s="24"/>
      <c r="D225" s="80"/>
      <c r="E225" s="27"/>
      <c r="F225" s="20"/>
      <c r="G225" s="186"/>
      <c r="H225" s="124"/>
      <c r="I225" s="103"/>
      <c r="J225" s="103"/>
      <c r="K225" s="103"/>
    </row>
    <row r="226" spans="1:11" ht="25.5">
      <c r="A226" s="76"/>
      <c r="B226" s="27" t="s">
        <v>1201</v>
      </c>
      <c r="C226" s="24"/>
      <c r="D226" s="80"/>
      <c r="E226" s="27"/>
      <c r="F226" s="20"/>
      <c r="G226" s="186"/>
      <c r="H226" s="124"/>
      <c r="I226" s="103"/>
      <c r="J226" s="103"/>
      <c r="K226" s="103"/>
    </row>
    <row r="227" spans="1:11" ht="25.5">
      <c r="A227" s="76"/>
      <c r="B227" s="27" t="s">
        <v>300</v>
      </c>
      <c r="C227" s="24"/>
      <c r="D227" s="80"/>
      <c r="E227" s="27"/>
      <c r="F227" s="20"/>
      <c r="G227" s="186"/>
      <c r="H227" s="124"/>
      <c r="I227" s="103"/>
      <c r="J227" s="103"/>
      <c r="K227" s="103"/>
    </row>
    <row r="228" spans="1:11" ht="38.25">
      <c r="A228" s="32"/>
      <c r="B228" s="27" t="s">
        <v>314</v>
      </c>
      <c r="C228" s="24"/>
      <c r="D228" s="80"/>
      <c r="E228" s="27"/>
      <c r="F228" s="20"/>
      <c r="G228" s="186"/>
      <c r="H228" s="124"/>
      <c r="I228" s="103"/>
      <c r="J228" s="103"/>
      <c r="K228" s="103"/>
    </row>
    <row r="229" spans="1:11">
      <c r="A229" s="32"/>
      <c r="B229" s="27"/>
      <c r="C229" s="24"/>
      <c r="D229" s="80"/>
      <c r="E229" s="27"/>
      <c r="F229" s="20"/>
      <c r="G229" s="186"/>
      <c r="H229" s="124"/>
      <c r="I229" s="103"/>
      <c r="J229" s="103"/>
      <c r="K229" s="103"/>
    </row>
    <row r="230" spans="1:11">
      <c r="A230" s="32"/>
      <c r="B230" s="22" t="s">
        <v>335</v>
      </c>
      <c r="C230" s="24"/>
      <c r="D230" s="80"/>
      <c r="E230" s="27"/>
      <c r="F230" s="20"/>
      <c r="G230" s="186"/>
      <c r="H230" s="124"/>
      <c r="I230" s="103"/>
      <c r="J230" s="103"/>
      <c r="K230" s="103"/>
    </row>
    <row r="231" spans="1:11">
      <c r="A231" s="32"/>
      <c r="B231" s="22" t="s">
        <v>1202</v>
      </c>
      <c r="C231" s="24"/>
      <c r="D231" s="80"/>
      <c r="E231" s="27"/>
      <c r="F231" s="20"/>
      <c r="G231" s="186"/>
      <c r="H231" s="124"/>
      <c r="I231" s="103"/>
      <c r="J231" s="103"/>
      <c r="K231" s="103"/>
    </row>
    <row r="232" spans="1:11">
      <c r="A232" s="32"/>
      <c r="B232" s="23" t="s">
        <v>1203</v>
      </c>
      <c r="C232" s="13" t="s">
        <v>38</v>
      </c>
      <c r="D232" s="10">
        <f>1.45*3.13*2*4</f>
        <v>36.308</v>
      </c>
      <c r="E232" s="27"/>
      <c r="F232" s="20">
        <f>D232*E232</f>
        <v>0</v>
      </c>
      <c r="G232" s="193"/>
      <c r="H232" s="124"/>
      <c r="I232" s="183"/>
      <c r="J232" s="103"/>
      <c r="K232" s="103"/>
    </row>
    <row r="233" spans="1:11">
      <c r="A233" s="32"/>
      <c r="B233" s="23"/>
      <c r="C233" s="13"/>
      <c r="D233" s="10"/>
      <c r="E233" s="27"/>
      <c r="F233" s="20"/>
      <c r="G233" s="193"/>
      <c r="H233" s="124"/>
      <c r="I233" s="183"/>
      <c r="J233" s="103"/>
      <c r="K233" s="103"/>
    </row>
    <row r="234" spans="1:11">
      <c r="A234" s="32"/>
      <c r="B234" s="22" t="s">
        <v>336</v>
      </c>
      <c r="C234" s="13"/>
      <c r="D234" s="10"/>
      <c r="E234" s="27"/>
      <c r="F234" s="20"/>
      <c r="G234" s="193"/>
      <c r="H234" s="124"/>
      <c r="I234" s="183"/>
      <c r="J234" s="103"/>
      <c r="K234" s="103"/>
    </row>
    <row r="235" spans="1:11">
      <c r="A235" s="32"/>
      <c r="B235" s="23" t="s">
        <v>1204</v>
      </c>
      <c r="C235" s="13" t="s">
        <v>38</v>
      </c>
      <c r="D235" s="10">
        <f>1.36*3.01*4</f>
        <v>16.374400000000001</v>
      </c>
      <c r="E235" s="27"/>
      <c r="F235" s="20">
        <f>D235*E235</f>
        <v>0</v>
      </c>
      <c r="G235" s="193"/>
      <c r="H235" s="124"/>
      <c r="I235" s="183"/>
      <c r="J235" s="103"/>
      <c r="K235" s="103"/>
    </row>
    <row r="236" spans="1:11">
      <c r="A236" s="32"/>
      <c r="B236" s="22"/>
      <c r="C236" s="24"/>
      <c r="D236" s="80"/>
      <c r="E236" s="27"/>
      <c r="F236" s="20"/>
      <c r="G236" s="186"/>
      <c r="H236" s="124"/>
      <c r="I236" s="103"/>
      <c r="J236" s="103"/>
      <c r="K236" s="103"/>
    </row>
    <row r="237" spans="1:11" ht="76.5">
      <c r="A237" s="76" t="s">
        <v>1026</v>
      </c>
      <c r="B237" s="27" t="s">
        <v>316</v>
      </c>
      <c r="C237" s="24"/>
      <c r="D237" s="80"/>
      <c r="E237" s="27"/>
      <c r="F237" s="20"/>
      <c r="G237" s="186"/>
      <c r="H237" s="124"/>
      <c r="I237" s="103"/>
      <c r="J237" s="103"/>
      <c r="K237" s="103"/>
    </row>
    <row r="238" spans="1:11" ht="25.5">
      <c r="A238" s="76"/>
      <c r="B238" s="27" t="s">
        <v>300</v>
      </c>
      <c r="C238" s="24"/>
      <c r="D238" s="80"/>
      <c r="E238" s="27"/>
      <c r="F238" s="20"/>
      <c r="G238" s="186"/>
      <c r="H238" s="124"/>
      <c r="I238" s="103"/>
      <c r="J238" s="103"/>
      <c r="K238" s="103"/>
    </row>
    <row r="239" spans="1:11" ht="38.25">
      <c r="A239" s="198"/>
      <c r="B239" s="201" t="s">
        <v>1115</v>
      </c>
      <c r="C239" s="202"/>
      <c r="D239" s="203"/>
      <c r="E239" s="201"/>
      <c r="F239" s="199"/>
      <c r="G239" s="186"/>
      <c r="H239" s="124"/>
      <c r="I239" s="103"/>
      <c r="J239" s="103"/>
      <c r="K239" s="103"/>
    </row>
    <row r="240" spans="1:11">
      <c r="A240" s="32"/>
      <c r="B240" s="22"/>
      <c r="C240" s="24"/>
      <c r="D240" s="80"/>
      <c r="E240" s="27"/>
      <c r="F240" s="20"/>
      <c r="G240" s="186"/>
      <c r="H240" s="124"/>
      <c r="I240" s="103"/>
      <c r="J240" s="103"/>
      <c r="K240" s="103"/>
    </row>
    <row r="241" spans="1:11">
      <c r="A241" s="79" t="s">
        <v>1249</v>
      </c>
      <c r="B241" s="22" t="s">
        <v>335</v>
      </c>
      <c r="C241" s="24"/>
      <c r="D241" s="80"/>
      <c r="E241" s="27"/>
      <c r="F241" s="20"/>
      <c r="G241" s="186"/>
      <c r="H241" s="124"/>
      <c r="I241" s="401"/>
      <c r="J241" s="103"/>
      <c r="K241" s="103"/>
    </row>
    <row r="242" spans="1:11">
      <c r="A242" s="32"/>
      <c r="B242" s="22" t="s">
        <v>1123</v>
      </c>
      <c r="C242" s="24"/>
      <c r="D242" s="80"/>
      <c r="E242" s="27"/>
      <c r="F242" s="20"/>
      <c r="G242" s="186"/>
      <c r="H242" s="124"/>
      <c r="I242" s="183"/>
      <c r="J242" s="103"/>
      <c r="K242" s="103"/>
    </row>
    <row r="243" spans="1:11">
      <c r="A243" s="32"/>
      <c r="B243" s="23" t="s">
        <v>1124</v>
      </c>
      <c r="C243" s="13" t="s">
        <v>38</v>
      </c>
      <c r="D243" s="10">
        <f>2.07*2.03</f>
        <v>4.2020999999999988</v>
      </c>
      <c r="E243" s="27"/>
      <c r="F243" s="20">
        <f>D243*E243</f>
        <v>0</v>
      </c>
      <c r="G243" s="193"/>
      <c r="H243" s="124"/>
      <c r="I243" s="183"/>
      <c r="J243" s="103"/>
      <c r="K243" s="103"/>
    </row>
    <row r="244" spans="1:11">
      <c r="A244" s="32"/>
      <c r="B244" s="23"/>
      <c r="C244" s="13"/>
      <c r="D244" s="10"/>
      <c r="E244" s="27"/>
      <c r="F244" s="20"/>
      <c r="G244" s="193"/>
      <c r="H244" s="124"/>
      <c r="I244" s="183"/>
      <c r="J244" s="103"/>
      <c r="K244" s="103"/>
    </row>
    <row r="245" spans="1:11">
      <c r="A245" s="79" t="s">
        <v>1250</v>
      </c>
      <c r="B245" s="22" t="s">
        <v>336</v>
      </c>
      <c r="C245" s="24"/>
      <c r="D245" s="80"/>
      <c r="E245" s="27"/>
      <c r="F245" s="20"/>
      <c r="G245" s="186"/>
      <c r="H245" s="124"/>
      <c r="I245" s="103"/>
      <c r="J245" s="103"/>
      <c r="K245" s="103"/>
    </row>
    <row r="246" spans="1:11">
      <c r="A246" s="32"/>
      <c r="B246" s="23" t="s">
        <v>1129</v>
      </c>
      <c r="C246" s="13" t="s">
        <v>38</v>
      </c>
      <c r="D246" s="10">
        <f>2.85*2.87</f>
        <v>8.1795000000000009</v>
      </c>
      <c r="E246" s="27"/>
      <c r="F246" s="20">
        <f>D246*E246</f>
        <v>0</v>
      </c>
      <c r="G246" s="193"/>
      <c r="H246" s="124"/>
      <c r="I246" s="103"/>
      <c r="J246" s="103"/>
      <c r="K246" s="103"/>
    </row>
    <row r="247" spans="1:11">
      <c r="A247" s="32"/>
      <c r="B247" s="23"/>
      <c r="C247" s="13"/>
      <c r="D247" s="10"/>
      <c r="E247" s="27"/>
      <c r="F247" s="20"/>
      <c r="G247" s="193"/>
      <c r="H247" s="124"/>
      <c r="I247" s="103"/>
      <c r="J247" s="103"/>
      <c r="K247" s="103"/>
    </row>
    <row r="248" spans="1:11">
      <c r="A248" s="79" t="s">
        <v>1251</v>
      </c>
      <c r="B248" s="27" t="s">
        <v>1128</v>
      </c>
      <c r="C248" s="22"/>
      <c r="D248" s="22"/>
      <c r="E248" s="19"/>
      <c r="F248" s="20"/>
      <c r="G248" s="193"/>
      <c r="H248" s="124"/>
      <c r="I248" s="103"/>
      <c r="J248" s="103"/>
      <c r="K248" s="103"/>
    </row>
    <row r="249" spans="1:11" ht="25.5">
      <c r="A249" s="32"/>
      <c r="B249" s="28" t="s">
        <v>1125</v>
      </c>
      <c r="C249" s="13" t="s">
        <v>40</v>
      </c>
      <c r="D249" s="21">
        <f>0.15*(0.82+1.45)/2*1.65*2+0.15*0.82*2.07+0.15*1.15*(3.11+2.85+0.89)</f>
        <v>1.9980599999999997</v>
      </c>
      <c r="E249" s="14"/>
      <c r="F249" s="30">
        <f>+D249*E249</f>
        <v>0</v>
      </c>
      <c r="G249" s="193"/>
      <c r="H249" s="124"/>
      <c r="I249" s="103"/>
      <c r="J249" s="103"/>
      <c r="K249" s="103"/>
    </row>
    <row r="250" spans="1:11">
      <c r="A250" s="32"/>
      <c r="B250" s="28"/>
      <c r="C250" s="22"/>
      <c r="D250" s="22"/>
      <c r="E250" s="19"/>
      <c r="F250" s="20"/>
      <c r="G250" s="193"/>
      <c r="H250" s="124"/>
      <c r="I250" s="103"/>
      <c r="J250" s="103"/>
      <c r="K250" s="103"/>
    </row>
    <row r="251" spans="1:11">
      <c r="A251" s="79" t="s">
        <v>1252</v>
      </c>
      <c r="B251" s="27" t="s">
        <v>1127</v>
      </c>
      <c r="C251" s="22"/>
      <c r="D251" s="22"/>
      <c r="E251" s="19"/>
      <c r="F251" s="20"/>
      <c r="G251" s="193"/>
      <c r="H251" s="124"/>
      <c r="I251" s="103"/>
      <c r="J251" s="103"/>
      <c r="K251" s="103"/>
    </row>
    <row r="252" spans="1:11">
      <c r="A252" s="32"/>
      <c r="B252" s="28" t="s">
        <v>1126</v>
      </c>
      <c r="C252" s="13" t="s">
        <v>40</v>
      </c>
      <c r="D252" s="21">
        <f>0.4*0.3*(4.75+2.07+2.45+0.89+2.28)</f>
        <v>1.4927999999999999</v>
      </c>
      <c r="E252" s="14"/>
      <c r="F252" s="30">
        <f>+D252*E252</f>
        <v>0</v>
      </c>
      <c r="G252" s="193"/>
      <c r="H252" s="124"/>
      <c r="I252" s="103"/>
      <c r="J252" s="103"/>
      <c r="K252" s="103"/>
    </row>
    <row r="253" spans="1:11">
      <c r="A253" s="32"/>
      <c r="B253" s="22"/>
      <c r="C253" s="24"/>
      <c r="D253" s="80"/>
      <c r="E253" s="27"/>
      <c r="F253" s="20"/>
      <c r="G253" s="186"/>
      <c r="H253" s="124"/>
      <c r="I253" s="103"/>
      <c r="J253" s="103"/>
      <c r="K253" s="103"/>
    </row>
    <row r="254" spans="1:11" ht="38.25">
      <c r="A254" s="76" t="s">
        <v>762</v>
      </c>
      <c r="B254" s="27" t="s">
        <v>334</v>
      </c>
      <c r="C254" s="22"/>
      <c r="D254" s="22"/>
      <c r="E254" s="22"/>
      <c r="F254" s="63"/>
      <c r="G254" s="186"/>
      <c r="H254" s="124"/>
      <c r="I254" s="103"/>
      <c r="J254" s="103"/>
      <c r="K254" s="103"/>
    </row>
    <row r="255" spans="1:11" ht="25.5">
      <c r="A255" s="76"/>
      <c r="B255" s="27" t="s">
        <v>324</v>
      </c>
      <c r="C255" s="22"/>
      <c r="D255" s="22"/>
      <c r="E255" s="22"/>
      <c r="F255" s="63"/>
      <c r="G255" s="186"/>
      <c r="H255" s="124"/>
      <c r="I255" s="103"/>
      <c r="J255" s="103"/>
      <c r="K255" s="103"/>
    </row>
    <row r="256" spans="1:11" ht="25.5">
      <c r="A256" s="76"/>
      <c r="B256" s="227" t="s">
        <v>300</v>
      </c>
      <c r="C256" s="22"/>
      <c r="D256" s="22"/>
      <c r="E256" s="22"/>
      <c r="F256" s="63"/>
      <c r="G256" s="186"/>
      <c r="H256" s="124"/>
      <c r="I256" s="103"/>
      <c r="J256" s="103"/>
      <c r="K256" s="103"/>
    </row>
    <row r="257" spans="1:11" ht="25.5">
      <c r="A257" s="32"/>
      <c r="B257" s="27" t="s">
        <v>151</v>
      </c>
      <c r="C257" s="22"/>
      <c r="D257" s="22"/>
      <c r="E257" s="22"/>
      <c r="F257" s="63"/>
      <c r="G257" s="186"/>
      <c r="H257" s="124"/>
      <c r="I257" s="103"/>
      <c r="J257" s="103"/>
      <c r="K257" s="103"/>
    </row>
    <row r="258" spans="1:11">
      <c r="A258" s="32"/>
      <c r="B258" s="27"/>
      <c r="C258" s="22"/>
      <c r="D258" s="22"/>
      <c r="E258" s="22"/>
      <c r="F258" s="63"/>
      <c r="G258" s="186"/>
      <c r="H258" s="124"/>
      <c r="I258" s="103"/>
      <c r="J258" s="103"/>
      <c r="K258" s="103"/>
    </row>
    <row r="259" spans="1:11">
      <c r="A259" s="79" t="s">
        <v>1030</v>
      </c>
      <c r="B259" s="27" t="s">
        <v>757</v>
      </c>
      <c r="C259" s="22"/>
      <c r="D259" s="22"/>
      <c r="E259" s="19"/>
      <c r="F259" s="63"/>
      <c r="G259" s="186"/>
      <c r="H259" s="124"/>
      <c r="I259" s="103"/>
      <c r="J259" s="103"/>
      <c r="K259" s="103"/>
    </row>
    <row r="260" spans="1:11">
      <c r="A260" s="32"/>
      <c r="B260" s="28" t="s">
        <v>1120</v>
      </c>
      <c r="C260" s="13" t="s">
        <v>38</v>
      </c>
      <c r="D260" s="64">
        <f>1.1*(6.01+6.02)</f>
        <v>13.233000000000001</v>
      </c>
      <c r="E260" s="14"/>
      <c r="F260" s="30">
        <f>+D260*E260</f>
        <v>0</v>
      </c>
      <c r="G260" s="186"/>
      <c r="H260" s="124"/>
      <c r="I260" s="103"/>
      <c r="J260" s="103"/>
      <c r="K260" s="103"/>
    </row>
    <row r="261" spans="1:11">
      <c r="A261" s="32"/>
      <c r="B261" s="22"/>
      <c r="C261" s="24"/>
      <c r="D261" s="80"/>
      <c r="E261" s="27"/>
      <c r="F261" s="20"/>
      <c r="G261" s="186"/>
      <c r="H261" s="124"/>
      <c r="I261" s="103"/>
      <c r="J261" s="103"/>
      <c r="K261" s="103"/>
    </row>
    <row r="262" spans="1:11">
      <c r="A262" s="79" t="s">
        <v>1031</v>
      </c>
      <c r="B262" s="27" t="s">
        <v>1121</v>
      </c>
      <c r="C262" s="13"/>
      <c r="D262" s="64"/>
      <c r="E262" s="19"/>
      <c r="F262" s="20"/>
      <c r="G262" s="186"/>
      <c r="H262" s="124"/>
      <c r="I262" s="103"/>
      <c r="J262" s="103"/>
      <c r="K262" s="103"/>
    </row>
    <row r="263" spans="1:11">
      <c r="A263" s="32"/>
      <c r="B263" s="28" t="s">
        <v>1122</v>
      </c>
      <c r="C263" s="13" t="s">
        <v>38</v>
      </c>
      <c r="D263" s="28">
        <f>1.1*1.63</f>
        <v>1.7929999999999999</v>
      </c>
      <c r="E263" s="14"/>
      <c r="F263" s="30">
        <f>+D263*E263</f>
        <v>0</v>
      </c>
      <c r="G263" s="186"/>
      <c r="H263" s="124"/>
      <c r="I263" s="103"/>
      <c r="J263" s="103"/>
      <c r="K263" s="103"/>
    </row>
    <row r="264" spans="1:11">
      <c r="A264" s="32"/>
      <c r="B264" s="22"/>
      <c r="C264" s="22"/>
      <c r="D264" s="22"/>
      <c r="E264" s="19"/>
      <c r="F264" s="20"/>
      <c r="G264" s="186"/>
      <c r="H264" s="124"/>
      <c r="I264" s="103"/>
      <c r="J264" s="103"/>
      <c r="K264" s="103"/>
    </row>
    <row r="265" spans="1:11">
      <c r="A265" s="79" t="s">
        <v>1031</v>
      </c>
      <c r="B265" s="27" t="s">
        <v>1119</v>
      </c>
      <c r="C265" s="22"/>
      <c r="D265" s="22"/>
      <c r="E265" s="19"/>
      <c r="F265" s="20"/>
      <c r="G265" s="186"/>
      <c r="H265" s="124"/>
      <c r="I265" s="103"/>
      <c r="J265" s="103"/>
      <c r="K265" s="103"/>
    </row>
    <row r="266" spans="1:11">
      <c r="A266" s="32"/>
      <c r="B266" s="28" t="s">
        <v>1118</v>
      </c>
      <c r="C266" s="13" t="s">
        <v>40</v>
      </c>
      <c r="D266" s="28">
        <f>0.15*(0.51+1.55)/2*13.51*2</f>
        <v>4.1745900000000002</v>
      </c>
      <c r="E266" s="14"/>
      <c r="F266" s="30">
        <f>+D266*E266</f>
        <v>0</v>
      </c>
      <c r="G266" s="186"/>
      <c r="H266" s="124"/>
      <c r="I266" s="103"/>
      <c r="J266" s="103"/>
      <c r="K266" s="103"/>
    </row>
    <row r="267" spans="1:11">
      <c r="A267" s="32"/>
      <c r="B267" s="28"/>
      <c r="C267" s="22"/>
      <c r="D267" s="22"/>
      <c r="E267" s="19"/>
      <c r="F267" s="20"/>
      <c r="G267" s="186"/>
      <c r="H267" s="124"/>
      <c r="I267" s="103"/>
      <c r="J267" s="103"/>
      <c r="K267" s="103"/>
    </row>
    <row r="268" spans="1:11">
      <c r="A268" s="79" t="s">
        <v>1253</v>
      </c>
      <c r="B268" s="27" t="s">
        <v>1116</v>
      </c>
      <c r="C268" s="22"/>
      <c r="D268" s="22"/>
      <c r="E268" s="19"/>
      <c r="F268" s="20"/>
      <c r="G268" s="186"/>
      <c r="H268" s="124"/>
      <c r="I268" s="103"/>
      <c r="J268" s="103"/>
      <c r="K268" s="103"/>
    </row>
    <row r="269" spans="1:11">
      <c r="A269" s="198"/>
      <c r="B269" s="303" t="s">
        <v>1117</v>
      </c>
      <c r="C269" s="221" t="s">
        <v>40</v>
      </c>
      <c r="D269" s="287">
        <f>0.4*0.3*13.51*2</f>
        <v>3.2423999999999999</v>
      </c>
      <c r="E269" s="304"/>
      <c r="F269" s="212">
        <f>+D269*E269</f>
        <v>0</v>
      </c>
      <c r="G269" s="186"/>
      <c r="H269" s="124"/>
      <c r="I269" s="103"/>
      <c r="J269" s="103"/>
      <c r="K269" s="103"/>
    </row>
    <row r="270" spans="1:11">
      <c r="A270" s="32"/>
      <c r="B270" s="22"/>
      <c r="C270" s="24"/>
      <c r="D270" s="80"/>
      <c r="E270" s="27"/>
      <c r="F270" s="20"/>
      <c r="G270" s="186"/>
      <c r="H270" s="124"/>
      <c r="I270" s="103"/>
      <c r="J270" s="103"/>
      <c r="K270" s="103"/>
    </row>
    <row r="271" spans="1:11" ht="51">
      <c r="A271" s="76" t="s">
        <v>761</v>
      </c>
      <c r="B271" s="22" t="s">
        <v>666</v>
      </c>
      <c r="C271" s="22"/>
      <c r="D271" s="80"/>
      <c r="E271" s="22"/>
      <c r="F271" s="63"/>
      <c r="G271" s="186"/>
      <c r="H271" s="124"/>
      <c r="I271" s="103"/>
      <c r="J271" s="103"/>
      <c r="K271" s="103"/>
    </row>
    <row r="272" spans="1:11" ht="51">
      <c r="A272" s="32"/>
      <c r="B272" s="17" t="s">
        <v>321</v>
      </c>
      <c r="C272" s="22"/>
      <c r="D272" s="80"/>
      <c r="E272" s="22"/>
      <c r="F272" s="63"/>
      <c r="G272" s="186"/>
      <c r="H272" s="124"/>
      <c r="I272" s="103"/>
      <c r="J272" s="103"/>
      <c r="K272" s="103"/>
    </row>
    <row r="273" spans="1:13" ht="51">
      <c r="A273" s="32"/>
      <c r="B273" s="17" t="s">
        <v>307</v>
      </c>
      <c r="C273" s="22"/>
      <c r="D273" s="80"/>
      <c r="E273" s="22"/>
      <c r="F273" s="63"/>
      <c r="G273" s="186"/>
      <c r="H273" s="124"/>
      <c r="I273" s="103"/>
      <c r="J273" s="103"/>
      <c r="K273" s="103"/>
    </row>
    <row r="274" spans="1:13" ht="38.25">
      <c r="A274" s="32"/>
      <c r="B274" s="16" t="s">
        <v>308</v>
      </c>
      <c r="C274" s="22"/>
      <c r="D274" s="80"/>
      <c r="E274" s="22"/>
      <c r="F274" s="63"/>
      <c r="G274" s="186"/>
      <c r="H274" s="124"/>
      <c r="I274" s="103"/>
      <c r="J274" s="103"/>
      <c r="K274" s="103"/>
    </row>
    <row r="275" spans="1:13" ht="25.5">
      <c r="A275" s="32"/>
      <c r="B275" s="148" t="s">
        <v>1188</v>
      </c>
      <c r="C275" s="22"/>
      <c r="D275" s="80"/>
      <c r="E275" s="22"/>
      <c r="F275" s="63"/>
      <c r="G275" s="186"/>
      <c r="H275" s="124"/>
      <c r="I275" s="103"/>
      <c r="J275" s="103"/>
      <c r="K275" s="103"/>
    </row>
    <row r="276" spans="1:13">
      <c r="A276" s="32"/>
      <c r="B276" s="22"/>
      <c r="C276" s="22"/>
      <c r="D276" s="80"/>
      <c r="E276" s="22"/>
      <c r="F276" s="63"/>
      <c r="G276" s="186"/>
      <c r="H276" s="124"/>
      <c r="I276" s="103"/>
      <c r="J276" s="103"/>
      <c r="K276" s="103"/>
    </row>
    <row r="277" spans="1:13">
      <c r="A277" s="32"/>
      <c r="B277" s="21" t="s">
        <v>1110</v>
      </c>
      <c r="C277" s="13" t="s">
        <v>40</v>
      </c>
      <c r="D277" s="21">
        <f>0.12*97.3+0.1*0.25*87.79</f>
        <v>13.870749999999999</v>
      </c>
      <c r="E277" s="16"/>
      <c r="F277" s="20">
        <f>D277*E277</f>
        <v>0</v>
      </c>
      <c r="G277" s="186"/>
      <c r="H277" s="124"/>
      <c r="I277" s="103"/>
      <c r="J277" s="103"/>
      <c r="K277" s="103"/>
    </row>
    <row r="278" spans="1:13" ht="13.5" thickBot="1">
      <c r="A278" s="76"/>
      <c r="B278" s="28"/>
      <c r="C278" s="24"/>
      <c r="D278" s="22"/>
      <c r="E278" s="17"/>
      <c r="F278" s="20"/>
      <c r="G278" s="186"/>
      <c r="H278" s="158"/>
      <c r="I278" s="103"/>
      <c r="J278" s="103"/>
      <c r="K278" s="305"/>
    </row>
    <row r="279" spans="1:13" s="1" customFormat="1" ht="15.95" customHeight="1" thickBot="1">
      <c r="A279" s="51" t="str">
        <f>A47</f>
        <v>2.</v>
      </c>
      <c r="B279" s="53" t="s">
        <v>91</v>
      </c>
      <c r="C279" s="54"/>
      <c r="D279" s="54"/>
      <c r="E279" s="55"/>
      <c r="F279" s="52">
        <f>SUM(F48:F278)</f>
        <v>0</v>
      </c>
      <c r="G279" s="396"/>
      <c r="H279" s="306"/>
      <c r="I279" s="398"/>
      <c r="J279" s="398"/>
      <c r="K279" s="398"/>
      <c r="L279" s="2"/>
      <c r="M279" s="2"/>
    </row>
    <row r="280" spans="1:13" s="1" customFormat="1" ht="15.95" customHeight="1" thickBot="1">
      <c r="A280" s="50" t="s">
        <v>24</v>
      </c>
      <c r="B280" s="69" t="s">
        <v>50</v>
      </c>
      <c r="C280" s="70"/>
      <c r="D280" s="70"/>
      <c r="E280" s="70"/>
      <c r="F280" s="71"/>
      <c r="G280" s="399"/>
      <c r="H280" s="299"/>
      <c r="I280" s="402"/>
      <c r="J280" s="398"/>
      <c r="K280" s="398"/>
      <c r="L280" s="2"/>
      <c r="M280" s="2"/>
    </row>
    <row r="281" spans="1:13">
      <c r="A281" s="32"/>
      <c r="B281" s="22"/>
      <c r="C281" s="22"/>
      <c r="D281" s="22"/>
      <c r="E281" s="22"/>
      <c r="F281" s="63"/>
      <c r="G281" s="186"/>
      <c r="I281" s="103"/>
      <c r="J281" s="103"/>
      <c r="K281" s="103"/>
    </row>
    <row r="282" spans="1:13" ht="25.5">
      <c r="A282" s="76" t="s">
        <v>84</v>
      </c>
      <c r="B282" s="17" t="s">
        <v>323</v>
      </c>
      <c r="C282" s="22"/>
      <c r="D282" s="22"/>
      <c r="E282" s="22"/>
      <c r="F282" s="106">
        <f>E282*D282</f>
        <v>0</v>
      </c>
      <c r="G282" s="186"/>
      <c r="I282" s="103"/>
      <c r="J282" s="103"/>
      <c r="K282" s="103"/>
    </row>
    <row r="283" spans="1:13" ht="51">
      <c r="A283" s="76"/>
      <c r="B283" s="17" t="s">
        <v>322</v>
      </c>
      <c r="C283" s="22"/>
      <c r="D283" s="22"/>
      <c r="E283" s="22"/>
      <c r="F283" s="106"/>
      <c r="G283" s="186"/>
      <c r="I283" s="103"/>
      <c r="J283" s="103"/>
      <c r="K283" s="103"/>
    </row>
    <row r="284" spans="1:13" ht="15">
      <c r="A284" s="32"/>
      <c r="B284" s="10" t="s">
        <v>51</v>
      </c>
      <c r="C284" s="29" t="s">
        <v>52</v>
      </c>
      <c r="D284" s="22">
        <v>150000</v>
      </c>
      <c r="E284" s="22"/>
      <c r="F284" s="106">
        <f>E284*D284</f>
        <v>0</v>
      </c>
      <c r="G284" s="186"/>
      <c r="H284" s="299"/>
      <c r="I284" s="103"/>
      <c r="J284" s="103"/>
      <c r="K284" s="103"/>
    </row>
    <row r="285" spans="1:13" ht="13.5" thickBot="1">
      <c r="A285" s="32"/>
      <c r="B285" s="22"/>
      <c r="C285" s="22"/>
      <c r="D285" s="22"/>
      <c r="E285" s="22"/>
      <c r="F285" s="63"/>
      <c r="G285" s="186"/>
      <c r="I285" s="103"/>
      <c r="J285" s="103"/>
      <c r="K285" s="103"/>
    </row>
    <row r="286" spans="1:13" s="1" customFormat="1" ht="15.95" customHeight="1" thickBot="1">
      <c r="A286" s="51" t="str">
        <f>A280</f>
        <v>3.</v>
      </c>
      <c r="B286" s="53" t="s">
        <v>43</v>
      </c>
      <c r="C286" s="54"/>
      <c r="D286" s="54"/>
      <c r="E286" s="55"/>
      <c r="F286" s="52">
        <f>SUM(F284:F284)</f>
        <v>0</v>
      </c>
      <c r="G286" s="396"/>
      <c r="H286" s="299"/>
      <c r="I286" s="397"/>
      <c r="J286" s="398"/>
      <c r="K286" s="398"/>
      <c r="L286" s="2"/>
      <c r="M286" s="2"/>
    </row>
    <row r="287" spans="1:13" s="1" customFormat="1" ht="15.95" customHeight="1" thickBot="1">
      <c r="A287" s="50" t="s">
        <v>25</v>
      </c>
      <c r="B287" s="69" t="s">
        <v>53</v>
      </c>
      <c r="C287" s="70"/>
      <c r="D287" s="70"/>
      <c r="E287" s="70"/>
      <c r="F287" s="71"/>
      <c r="G287" s="399"/>
      <c r="H287" s="299"/>
      <c r="I287" s="397"/>
      <c r="J287" s="398"/>
      <c r="K287" s="398"/>
      <c r="L287" s="2"/>
      <c r="M287" s="2"/>
    </row>
    <row r="288" spans="1:13">
      <c r="A288" s="32"/>
      <c r="B288" s="22"/>
      <c r="C288" s="22"/>
      <c r="D288" s="22"/>
      <c r="E288" s="84"/>
      <c r="F288" s="63"/>
      <c r="G288" s="186"/>
      <c r="I288" s="103"/>
      <c r="J288" s="103"/>
      <c r="K288" s="103"/>
    </row>
    <row r="289" spans="1:11" ht="38.25" customHeight="1">
      <c r="A289" s="76" t="s">
        <v>85</v>
      </c>
      <c r="B289" s="17" t="s">
        <v>341</v>
      </c>
      <c r="C289" s="22"/>
      <c r="D289" s="22"/>
      <c r="E289" s="22"/>
      <c r="F289" s="63"/>
      <c r="G289" s="186"/>
      <c r="I289" s="103"/>
      <c r="J289" s="103"/>
      <c r="K289" s="103"/>
    </row>
    <row r="290" spans="1:11" ht="25.5" customHeight="1">
      <c r="A290" s="76"/>
      <c r="B290" s="103" t="s">
        <v>338</v>
      </c>
      <c r="C290" s="22"/>
      <c r="D290" s="22"/>
      <c r="E290" s="22"/>
      <c r="F290" s="63"/>
      <c r="G290" s="186"/>
      <c r="I290" s="103"/>
      <c r="J290" s="103"/>
      <c r="K290" s="103"/>
    </row>
    <row r="291" spans="1:11">
      <c r="A291" s="32"/>
      <c r="B291" s="10" t="s">
        <v>337</v>
      </c>
      <c r="C291" s="22"/>
      <c r="D291" s="22"/>
      <c r="E291" s="22"/>
      <c r="F291" s="63"/>
      <c r="G291" s="186"/>
      <c r="I291" s="128"/>
      <c r="J291" s="103"/>
      <c r="K291" s="103"/>
    </row>
    <row r="292" spans="1:11" ht="38.25">
      <c r="A292" s="32"/>
      <c r="B292" s="16" t="s">
        <v>1281</v>
      </c>
      <c r="C292" s="22"/>
      <c r="D292" s="22"/>
      <c r="E292" s="22"/>
      <c r="F292" s="63"/>
      <c r="G292" s="186"/>
      <c r="I292" s="128"/>
      <c r="J292" s="103"/>
      <c r="K292" s="103"/>
    </row>
    <row r="293" spans="1:11">
      <c r="A293" s="32"/>
      <c r="B293" s="10" t="s">
        <v>48</v>
      </c>
      <c r="C293" s="22"/>
      <c r="D293" s="22"/>
      <c r="E293" s="22"/>
      <c r="F293" s="63"/>
      <c r="G293" s="186"/>
      <c r="I293" s="128"/>
      <c r="J293" s="103"/>
      <c r="K293" s="103"/>
    </row>
    <row r="294" spans="1:11">
      <c r="A294" s="32"/>
      <c r="B294" s="22"/>
      <c r="C294" s="22"/>
      <c r="D294" s="22"/>
      <c r="E294" s="22"/>
      <c r="F294" s="63"/>
      <c r="G294" s="186"/>
      <c r="I294" s="128"/>
      <c r="J294" s="103"/>
      <c r="K294" s="103"/>
    </row>
    <row r="295" spans="1:11">
      <c r="A295" s="32"/>
      <c r="B295" s="22" t="s">
        <v>27</v>
      </c>
      <c r="C295" s="22"/>
      <c r="D295" s="22"/>
      <c r="E295" s="22"/>
      <c r="F295" s="63"/>
      <c r="G295" s="186"/>
      <c r="I295" s="128"/>
      <c r="J295" s="103"/>
      <c r="K295" s="103"/>
    </row>
    <row r="296" spans="1:11" ht="51">
      <c r="A296" s="32"/>
      <c r="B296" s="23" t="s">
        <v>815</v>
      </c>
      <c r="C296" s="22"/>
      <c r="D296" s="80">
        <f>0.2*2.5*(4.85+2.4+2.26+2.4+6.38+4.47+2.9+1.5+5.37+2.7+1.6+2.9)-0.2*(2.1*1.6*2+0.9*2.4*6+1*1.6*4+1.8*1.6*7+2.7*1.6+1*0.6+1.5*1.6)</f>
        <v>9.1529999999999969</v>
      </c>
      <c r="E296" s="22"/>
      <c r="F296" s="63"/>
      <c r="G296" s="186"/>
      <c r="I296" s="128"/>
      <c r="J296" s="103"/>
      <c r="K296" s="103"/>
    </row>
    <row r="297" spans="1:11">
      <c r="A297" s="32"/>
      <c r="B297" s="22"/>
      <c r="C297" s="22"/>
      <c r="D297" s="22"/>
      <c r="E297" s="22"/>
      <c r="F297" s="63"/>
      <c r="G297" s="186"/>
      <c r="I297" s="128"/>
      <c r="J297" s="103"/>
      <c r="K297" s="103"/>
    </row>
    <row r="298" spans="1:11">
      <c r="A298" s="32"/>
      <c r="B298" s="22" t="s">
        <v>360</v>
      </c>
      <c r="C298" s="22"/>
      <c r="D298" s="22"/>
      <c r="E298" s="22"/>
      <c r="F298" s="63"/>
      <c r="G298" s="186"/>
      <c r="I298" s="128"/>
      <c r="J298" s="103"/>
      <c r="K298" s="103"/>
    </row>
    <row r="299" spans="1:11" ht="51">
      <c r="A299" s="32"/>
      <c r="B299" s="23" t="s">
        <v>816</v>
      </c>
      <c r="C299" s="22"/>
      <c r="D299" s="80">
        <f>0.2*2.5*(4.85+2.7+2.26+2.4+6.38+4.47+2.9+1.5+2.7+5.37+2.7+1.6+2.9)-0.2*(2.1*1.6*2+0.9*2.4*7+1*1.6*4+1.8*1.6*8+1*0.6+1.5*1.6)</f>
        <v>10.508999999999997</v>
      </c>
      <c r="E299" s="22"/>
      <c r="F299" s="63"/>
      <c r="G299" s="186"/>
      <c r="I299" s="128"/>
      <c r="J299" s="103"/>
      <c r="K299" s="103"/>
    </row>
    <row r="300" spans="1:11">
      <c r="A300" s="32"/>
      <c r="B300" s="22"/>
      <c r="C300" s="22"/>
      <c r="D300" s="22"/>
      <c r="E300" s="22"/>
      <c r="F300" s="63"/>
      <c r="G300" s="186"/>
      <c r="I300" s="128"/>
      <c r="J300" s="103"/>
      <c r="K300" s="103"/>
    </row>
    <row r="301" spans="1:11">
      <c r="A301" s="32"/>
      <c r="B301" s="22" t="s">
        <v>361</v>
      </c>
      <c r="C301" s="22"/>
      <c r="D301" s="22"/>
      <c r="E301" s="22"/>
      <c r="F301" s="63"/>
      <c r="G301" s="186"/>
      <c r="I301" s="128"/>
      <c r="J301" s="103"/>
      <c r="K301" s="103"/>
    </row>
    <row r="302" spans="1:11" ht="63.75">
      <c r="A302" s="32"/>
      <c r="B302" s="23" t="s">
        <v>1130</v>
      </c>
      <c r="C302" s="22"/>
      <c r="D302" s="80">
        <f>0.2*2.5*(4.85+2.7+2.26+2.4+6.38+4.47+2.9+1.5+2.7+5.37+2.7+1.6+2.9)*3-0.2*(2.1*1.6*2+0.9*2.4*7+1*1.6*4+1.8*1.6*8+1*0.6+1.5*1.6)*3+0.2*(0.77+2.24)/2*7.7*2</f>
        <v>36.162399999999991</v>
      </c>
      <c r="E302" s="22"/>
      <c r="F302" s="63"/>
      <c r="G302" s="186"/>
      <c r="I302" s="128"/>
      <c r="J302" s="103"/>
      <c r="K302" s="103"/>
    </row>
    <row r="303" spans="1:11">
      <c r="A303" s="32"/>
      <c r="B303" s="23"/>
      <c r="C303" s="22"/>
      <c r="D303" s="23"/>
      <c r="E303" s="22"/>
      <c r="F303" s="63"/>
      <c r="G303" s="186"/>
      <c r="I303" s="103"/>
      <c r="J303" s="103"/>
      <c r="K303" s="103"/>
    </row>
    <row r="304" spans="1:11">
      <c r="A304" s="32"/>
      <c r="B304" s="22" t="s">
        <v>172</v>
      </c>
      <c r="C304" s="24" t="s">
        <v>40</v>
      </c>
      <c r="D304" s="22">
        <f>SUM(D289:D303)</f>
        <v>55.824399999999983</v>
      </c>
      <c r="E304" s="14"/>
      <c r="F304" s="30">
        <f>D304*E304</f>
        <v>0</v>
      </c>
      <c r="G304" s="186"/>
      <c r="H304" s="138"/>
      <c r="I304" s="183"/>
      <c r="J304" s="103"/>
      <c r="K304" s="103"/>
    </row>
    <row r="305" spans="1:11">
      <c r="A305" s="32"/>
      <c r="B305" s="129"/>
      <c r="C305" s="22"/>
      <c r="D305" s="22"/>
      <c r="E305" s="22"/>
      <c r="F305" s="63"/>
      <c r="G305" s="186"/>
      <c r="I305" s="103"/>
      <c r="J305" s="103"/>
      <c r="K305" s="103"/>
    </row>
    <row r="306" spans="1:11" ht="38.25">
      <c r="A306" s="76" t="s">
        <v>141</v>
      </c>
      <c r="B306" s="17" t="s">
        <v>342</v>
      </c>
      <c r="C306" s="22"/>
      <c r="D306" s="22"/>
      <c r="E306" s="22"/>
      <c r="F306" s="63"/>
      <c r="G306" s="186"/>
      <c r="I306" s="103"/>
      <c r="J306" s="103"/>
      <c r="K306" s="103"/>
    </row>
    <row r="307" spans="1:11" ht="25.5">
      <c r="A307" s="76"/>
      <c r="B307" s="17" t="s">
        <v>338</v>
      </c>
      <c r="C307" s="22"/>
      <c r="D307" s="22"/>
      <c r="E307" s="22"/>
      <c r="F307" s="63"/>
      <c r="G307" s="186"/>
      <c r="I307" s="103"/>
      <c r="J307" s="103"/>
      <c r="K307" s="103"/>
    </row>
    <row r="308" spans="1:11">
      <c r="A308" s="76"/>
      <c r="B308" s="10" t="s">
        <v>339</v>
      </c>
      <c r="C308" s="22"/>
      <c r="D308" s="22"/>
      <c r="E308" s="22"/>
      <c r="F308" s="63"/>
      <c r="G308" s="186"/>
      <c r="I308" s="103"/>
      <c r="J308" s="103"/>
      <c r="K308" s="103"/>
    </row>
    <row r="309" spans="1:11" ht="38.25">
      <c r="A309" s="76"/>
      <c r="B309" s="16" t="s">
        <v>1282</v>
      </c>
      <c r="C309" s="22"/>
      <c r="D309" s="22"/>
      <c r="E309" s="22"/>
      <c r="F309" s="63"/>
      <c r="G309" s="186"/>
      <c r="I309" s="103"/>
      <c r="J309" s="103"/>
      <c r="K309" s="103"/>
    </row>
    <row r="310" spans="1:11">
      <c r="A310" s="32"/>
      <c r="B310" s="10" t="s">
        <v>48</v>
      </c>
      <c r="C310" s="22"/>
      <c r="D310" s="22"/>
      <c r="E310" s="22"/>
      <c r="F310" s="63"/>
      <c r="G310" s="186"/>
      <c r="I310" s="128"/>
      <c r="J310" s="103"/>
      <c r="K310" s="103"/>
    </row>
    <row r="311" spans="1:11">
      <c r="A311" s="32"/>
      <c r="B311" s="10"/>
      <c r="C311" s="22"/>
      <c r="D311" s="22"/>
      <c r="E311" s="22"/>
      <c r="F311" s="63"/>
      <c r="G311" s="186"/>
      <c r="I311" s="128"/>
      <c r="J311" s="103"/>
      <c r="K311" s="103"/>
    </row>
    <row r="312" spans="1:11">
      <c r="A312" s="32"/>
      <c r="B312" s="22" t="s">
        <v>27</v>
      </c>
      <c r="C312" s="22"/>
      <c r="D312" s="22"/>
      <c r="E312" s="22"/>
      <c r="F312" s="63"/>
      <c r="G312" s="186"/>
      <c r="I312" s="128"/>
      <c r="J312" s="103"/>
      <c r="K312" s="103"/>
    </row>
    <row r="313" spans="1:11">
      <c r="A313" s="32"/>
      <c r="B313" s="23" t="s">
        <v>819</v>
      </c>
      <c r="C313" s="22"/>
      <c r="D313" s="22">
        <f>0.2*2.5*1.43</f>
        <v>0.71499999999999997</v>
      </c>
      <c r="E313" s="22"/>
      <c r="F313" s="63"/>
      <c r="G313" s="186"/>
      <c r="I313" s="128"/>
      <c r="J313" s="103"/>
      <c r="K313" s="103"/>
    </row>
    <row r="314" spans="1:11">
      <c r="A314" s="32"/>
      <c r="B314" s="23"/>
      <c r="C314" s="22"/>
      <c r="D314" s="22"/>
      <c r="E314" s="22"/>
      <c r="F314" s="63"/>
      <c r="G314" s="186"/>
      <c r="I314" s="128"/>
      <c r="J314" s="103"/>
      <c r="K314" s="103"/>
    </row>
    <row r="315" spans="1:11">
      <c r="A315" s="32"/>
      <c r="B315" s="22" t="s">
        <v>360</v>
      </c>
      <c r="C315" s="22"/>
      <c r="D315" s="22"/>
      <c r="E315" s="22"/>
      <c r="F315" s="63"/>
      <c r="G315" s="186"/>
      <c r="I315" s="128"/>
      <c r="J315" s="103"/>
      <c r="K315" s="103"/>
    </row>
    <row r="316" spans="1:11">
      <c r="A316" s="198"/>
      <c r="B316" s="222" t="s">
        <v>817</v>
      </c>
      <c r="C316" s="196"/>
      <c r="D316" s="196">
        <f>0.2*2.5*1.6</f>
        <v>0.8</v>
      </c>
      <c r="E316" s="196"/>
      <c r="F316" s="197"/>
      <c r="G316" s="186"/>
      <c r="I316" s="128"/>
      <c r="J316" s="103"/>
      <c r="K316" s="103"/>
    </row>
    <row r="317" spans="1:11">
      <c r="A317" s="32"/>
      <c r="B317" s="23"/>
      <c r="C317" s="22"/>
      <c r="D317" s="22"/>
      <c r="E317" s="22"/>
      <c r="F317" s="63"/>
      <c r="G317" s="186"/>
      <c r="I317" s="128"/>
      <c r="J317" s="103"/>
      <c r="K317" s="103"/>
    </row>
    <row r="318" spans="1:11">
      <c r="A318" s="32"/>
      <c r="B318" s="22" t="s">
        <v>361</v>
      </c>
      <c r="C318" s="22"/>
      <c r="D318" s="22"/>
      <c r="E318" s="22"/>
      <c r="F318" s="63"/>
      <c r="G318" s="186"/>
      <c r="I318" s="103"/>
      <c r="J318" s="103"/>
      <c r="K318" s="103"/>
    </row>
    <row r="319" spans="1:11">
      <c r="A319" s="32"/>
      <c r="B319" s="23" t="s">
        <v>818</v>
      </c>
      <c r="C319" s="22"/>
      <c r="D319" s="23">
        <f>0.2*2.5*1.6*3</f>
        <v>2.4000000000000004</v>
      </c>
      <c r="E319" s="22"/>
      <c r="F319" s="63"/>
      <c r="G319" s="186"/>
      <c r="I319" s="103"/>
      <c r="J319" s="103"/>
      <c r="K319" s="103"/>
    </row>
    <row r="320" spans="1:11">
      <c r="A320" s="32"/>
      <c r="B320" s="23"/>
      <c r="C320" s="22"/>
      <c r="D320" s="23"/>
      <c r="E320" s="22"/>
      <c r="F320" s="63"/>
      <c r="G320" s="186"/>
      <c r="I320" s="103"/>
      <c r="J320" s="103"/>
      <c r="K320" s="103"/>
    </row>
    <row r="321" spans="1:11">
      <c r="A321" s="32"/>
      <c r="B321" s="23" t="s">
        <v>1182</v>
      </c>
      <c r="C321" s="22"/>
      <c r="D321" s="23"/>
      <c r="E321" s="22"/>
      <c r="F321" s="63"/>
      <c r="G321" s="186"/>
      <c r="I321" s="103"/>
      <c r="J321" s="103"/>
      <c r="K321" s="103"/>
    </row>
    <row r="322" spans="1:11">
      <c r="A322" s="32"/>
      <c r="B322" s="23" t="s">
        <v>1183</v>
      </c>
      <c r="C322" s="22"/>
      <c r="D322" s="23">
        <f>0.2*(0.85*2.35)/2*6.55*2</f>
        <v>2.6167250000000002</v>
      </c>
      <c r="E322" s="22"/>
      <c r="F322" s="63"/>
      <c r="G322" s="186"/>
      <c r="I322" s="103"/>
      <c r="J322" s="103"/>
      <c r="K322" s="103"/>
    </row>
    <row r="323" spans="1:11">
      <c r="A323" s="32"/>
      <c r="B323" s="23"/>
      <c r="C323" s="22"/>
      <c r="D323" s="23"/>
      <c r="E323" s="22"/>
      <c r="F323" s="63"/>
      <c r="G323" s="186"/>
      <c r="I323" s="103"/>
      <c r="J323" s="103"/>
      <c r="K323" s="103"/>
    </row>
    <row r="324" spans="1:11">
      <c r="A324" s="32"/>
      <c r="B324" s="22" t="s">
        <v>340</v>
      </c>
      <c r="C324" s="24" t="s">
        <v>40</v>
      </c>
      <c r="D324" s="22">
        <f>SUM(D312:D322)</f>
        <v>6.5317250000000007</v>
      </c>
      <c r="E324" s="14"/>
      <c r="F324" s="30">
        <f>D324*E324</f>
        <v>0</v>
      </c>
      <c r="G324" s="186"/>
      <c r="H324" s="138"/>
      <c r="I324" s="183"/>
      <c r="J324" s="103"/>
      <c r="K324" s="103"/>
    </row>
    <row r="325" spans="1:11">
      <c r="A325" s="32"/>
      <c r="B325" s="129"/>
      <c r="C325" s="22"/>
      <c r="D325" s="22"/>
      <c r="E325" s="22"/>
      <c r="F325" s="63"/>
      <c r="G325" s="186"/>
      <c r="I325" s="103"/>
      <c r="J325" s="103"/>
      <c r="K325" s="103"/>
    </row>
    <row r="326" spans="1:11" ht="38.25">
      <c r="A326" s="76" t="s">
        <v>142</v>
      </c>
      <c r="B326" s="17" t="s">
        <v>343</v>
      </c>
      <c r="C326" s="22"/>
      <c r="D326" s="78"/>
      <c r="E326" s="22"/>
      <c r="F326" s="63"/>
      <c r="G326" s="186"/>
      <c r="I326" s="103"/>
      <c r="J326" s="103"/>
      <c r="K326" s="103"/>
    </row>
    <row r="327" spans="1:11" ht="25.5">
      <c r="A327" s="76"/>
      <c r="B327" s="17" t="s">
        <v>344</v>
      </c>
      <c r="C327" s="22"/>
      <c r="D327" s="78"/>
      <c r="E327" s="22"/>
      <c r="F327" s="63"/>
      <c r="G327" s="186"/>
      <c r="I327" s="103"/>
      <c r="J327" s="103"/>
      <c r="K327" s="103"/>
    </row>
    <row r="328" spans="1:11">
      <c r="A328" s="76"/>
      <c r="B328" s="17" t="s">
        <v>339</v>
      </c>
      <c r="C328" s="22"/>
      <c r="D328" s="78"/>
      <c r="E328" s="22"/>
      <c r="F328" s="63"/>
      <c r="G328" s="186"/>
      <c r="I328" s="103"/>
      <c r="J328" s="103"/>
      <c r="K328" s="103"/>
    </row>
    <row r="329" spans="1:11">
      <c r="A329" s="32"/>
      <c r="B329" s="10" t="s">
        <v>48</v>
      </c>
      <c r="C329" s="22"/>
      <c r="D329" s="78"/>
      <c r="E329" s="22"/>
      <c r="F329" s="63"/>
      <c r="G329" s="186"/>
      <c r="I329" s="103"/>
      <c r="J329" s="103"/>
      <c r="K329" s="103"/>
    </row>
    <row r="330" spans="1:11">
      <c r="A330" s="32"/>
      <c r="B330" s="10"/>
      <c r="C330" s="22"/>
      <c r="D330" s="78"/>
      <c r="E330" s="22"/>
      <c r="F330" s="63"/>
      <c r="G330" s="186"/>
      <c r="I330" s="103"/>
      <c r="J330" s="103"/>
      <c r="K330" s="103"/>
    </row>
    <row r="331" spans="1:11">
      <c r="A331" s="32"/>
      <c r="B331" s="22" t="s">
        <v>27</v>
      </c>
      <c r="C331" s="22"/>
      <c r="D331" s="78"/>
      <c r="E331" s="22"/>
      <c r="F331" s="63"/>
      <c r="G331" s="186"/>
      <c r="I331" s="103"/>
      <c r="J331" s="103"/>
      <c r="K331" s="103"/>
    </row>
    <row r="332" spans="1:11" ht="38.25">
      <c r="A332" s="32"/>
      <c r="B332" s="23" t="s">
        <v>823</v>
      </c>
      <c r="C332" s="22"/>
      <c r="D332" s="78">
        <f>0.25*2.5*(3.8+2.06+2.61+2.45+2.47+3.83+2.95+1.23+3.2+2.83+3.3+1.94+3.44+1.62)-0.25*(1*2.1*3+2.31*2.4)</f>
        <v>20.620249999999999</v>
      </c>
      <c r="E332" s="22"/>
      <c r="F332" s="63"/>
      <c r="G332" s="186"/>
      <c r="I332" s="103"/>
      <c r="J332" s="103"/>
      <c r="K332" s="103"/>
    </row>
    <row r="333" spans="1:11">
      <c r="A333" s="32"/>
      <c r="B333" s="22"/>
      <c r="C333" s="22"/>
      <c r="D333" s="78"/>
      <c r="E333" s="22"/>
      <c r="F333" s="63"/>
      <c r="G333" s="186"/>
      <c r="I333" s="103"/>
      <c r="J333" s="103"/>
      <c r="K333" s="103"/>
    </row>
    <row r="334" spans="1:11">
      <c r="A334" s="32"/>
      <c r="B334" s="22" t="s">
        <v>360</v>
      </c>
      <c r="C334" s="22"/>
      <c r="D334" s="78"/>
      <c r="E334" s="22"/>
      <c r="F334" s="63"/>
      <c r="G334" s="186"/>
      <c r="I334" s="103"/>
      <c r="J334" s="103"/>
      <c r="K334" s="103"/>
    </row>
    <row r="335" spans="1:11" ht="51">
      <c r="A335" s="32"/>
      <c r="B335" s="23" t="s">
        <v>822</v>
      </c>
      <c r="C335" s="22"/>
      <c r="D335" s="78">
        <f>0.25*2.5*(3.8+2.05+2.61+4+1.62+2.45+2.47+3.83+1.33+1.23+3.2+4.68+3.02+3.5+3.27+2.78+1.94+3.53)-0.25*1*2.1*5</f>
        <v>29.443750000000001</v>
      </c>
      <c r="E335" s="22"/>
      <c r="F335" s="63"/>
      <c r="G335" s="186"/>
      <c r="I335" s="103"/>
      <c r="J335" s="103"/>
      <c r="K335" s="103"/>
    </row>
    <row r="336" spans="1:11">
      <c r="A336" s="32"/>
      <c r="B336" s="22"/>
      <c r="C336" s="22"/>
      <c r="D336" s="22"/>
      <c r="E336" s="22"/>
      <c r="F336" s="63"/>
      <c r="G336" s="186"/>
      <c r="I336" s="103"/>
      <c r="J336" s="103"/>
      <c r="K336" s="103"/>
    </row>
    <row r="337" spans="1:11">
      <c r="A337" s="32"/>
      <c r="B337" s="22" t="s">
        <v>361</v>
      </c>
      <c r="C337" s="22"/>
      <c r="D337" s="78"/>
      <c r="E337" s="22"/>
      <c r="F337" s="63"/>
      <c r="G337" s="186"/>
      <c r="I337" s="103"/>
      <c r="J337" s="103"/>
      <c r="K337" s="103"/>
    </row>
    <row r="338" spans="1:11" ht="51">
      <c r="A338" s="32"/>
      <c r="B338" s="23" t="s">
        <v>825</v>
      </c>
      <c r="C338" s="22"/>
      <c r="D338" s="78">
        <f>0.25*2.5*(3.8+2.05+2.61+4+1.62+2.45+2.47+3.83+1.33+1.23+3.2+4.68+3.02+3.5+3.27+2.78+1.94+3.53)*3-0.25*1*2.1*5*3</f>
        <v>88.331250000000011</v>
      </c>
      <c r="E338" s="22"/>
      <c r="F338" s="63"/>
      <c r="G338" s="186"/>
      <c r="I338" s="103"/>
      <c r="J338" s="103"/>
      <c r="K338" s="103"/>
    </row>
    <row r="339" spans="1:11">
      <c r="A339" s="32"/>
      <c r="B339" s="22"/>
      <c r="C339" s="22"/>
      <c r="D339" s="22"/>
      <c r="E339" s="22"/>
      <c r="F339" s="63"/>
      <c r="G339" s="186"/>
      <c r="I339" s="103"/>
      <c r="J339" s="103"/>
      <c r="K339" s="103"/>
    </row>
    <row r="340" spans="1:11">
      <c r="A340" s="32"/>
      <c r="B340" s="22" t="s">
        <v>345</v>
      </c>
      <c r="C340" s="24" t="s">
        <v>40</v>
      </c>
      <c r="D340" s="22">
        <f>SUM(D332:D339)</f>
        <v>138.39525</v>
      </c>
      <c r="E340" s="14"/>
      <c r="F340" s="30">
        <f>D340*E340</f>
        <v>0</v>
      </c>
      <c r="G340" s="186"/>
      <c r="H340" s="138"/>
      <c r="I340" s="183"/>
      <c r="J340" s="103"/>
      <c r="K340" s="103"/>
    </row>
    <row r="341" spans="1:11">
      <c r="A341" s="32"/>
      <c r="B341" s="22"/>
      <c r="C341" s="24"/>
      <c r="D341" s="22"/>
      <c r="E341" s="14"/>
      <c r="F341" s="30"/>
      <c r="G341" s="186"/>
      <c r="H341" s="138"/>
      <c r="I341" s="103"/>
      <c r="J341" s="103"/>
      <c r="K341" s="103"/>
    </row>
    <row r="342" spans="1:11" ht="38.25">
      <c r="A342" s="76" t="s">
        <v>92</v>
      </c>
      <c r="B342" s="17" t="s">
        <v>343</v>
      </c>
      <c r="C342" s="22"/>
      <c r="D342" s="22"/>
      <c r="E342" s="22"/>
      <c r="F342" s="63"/>
      <c r="G342" s="186"/>
      <c r="I342" s="103"/>
      <c r="J342" s="103"/>
      <c r="K342" s="103"/>
    </row>
    <row r="343" spans="1:11" ht="25.5">
      <c r="A343" s="32"/>
      <c r="B343" s="17" t="s">
        <v>344</v>
      </c>
      <c r="C343" s="22"/>
      <c r="D343" s="22"/>
      <c r="E343" s="22"/>
      <c r="F343" s="63"/>
      <c r="G343" s="186"/>
      <c r="I343" s="103"/>
      <c r="J343" s="103"/>
      <c r="K343" s="103"/>
    </row>
    <row r="344" spans="1:11">
      <c r="A344" s="32"/>
      <c r="B344" s="17" t="s">
        <v>346</v>
      </c>
      <c r="C344" s="22"/>
      <c r="D344" s="22"/>
      <c r="E344" s="22"/>
      <c r="F344" s="63"/>
      <c r="G344" s="186"/>
      <c r="I344" s="103"/>
      <c r="J344" s="103"/>
      <c r="K344" s="103"/>
    </row>
    <row r="345" spans="1:11">
      <c r="A345" s="198"/>
      <c r="B345" s="215" t="s">
        <v>48</v>
      </c>
      <c r="C345" s="196"/>
      <c r="D345" s="196"/>
      <c r="E345" s="196"/>
      <c r="F345" s="197"/>
      <c r="G345" s="186"/>
      <c r="I345" s="103"/>
      <c r="J345" s="103"/>
      <c r="K345" s="103"/>
    </row>
    <row r="346" spans="1:11">
      <c r="A346" s="32"/>
      <c r="B346" s="10"/>
      <c r="C346" s="22"/>
      <c r="D346" s="22"/>
      <c r="E346" s="22"/>
      <c r="F346" s="63"/>
      <c r="G346" s="186"/>
      <c r="I346" s="103"/>
      <c r="J346" s="103"/>
      <c r="K346" s="103"/>
    </row>
    <row r="347" spans="1:11">
      <c r="A347" s="32"/>
      <c r="B347" s="22" t="s">
        <v>27</v>
      </c>
      <c r="C347" s="22"/>
      <c r="D347" s="22"/>
      <c r="E347" s="22"/>
      <c r="F347" s="63"/>
      <c r="G347" s="186"/>
      <c r="I347" s="103"/>
      <c r="J347" s="103"/>
      <c r="K347" s="103"/>
    </row>
    <row r="348" spans="1:11">
      <c r="A348" s="32"/>
      <c r="B348" s="23" t="s">
        <v>826</v>
      </c>
      <c r="C348" s="22"/>
      <c r="D348" s="22">
        <f>0.2*2.5*1.3*2+0.2*2.77*(1.47+2.01)</f>
        <v>3.2279200000000001</v>
      </c>
      <c r="E348" s="22"/>
      <c r="F348" s="63"/>
      <c r="G348" s="186"/>
      <c r="I348" s="103"/>
      <c r="J348" s="103"/>
      <c r="K348" s="103"/>
    </row>
    <row r="349" spans="1:11">
      <c r="A349" s="32"/>
      <c r="B349" s="22"/>
      <c r="C349" s="22"/>
      <c r="D349" s="22"/>
      <c r="E349" s="22"/>
      <c r="F349" s="63"/>
      <c r="G349" s="186"/>
      <c r="I349" s="103"/>
      <c r="J349" s="103"/>
      <c r="K349" s="103"/>
    </row>
    <row r="350" spans="1:11">
      <c r="A350" s="32"/>
      <c r="B350" s="22" t="s">
        <v>360</v>
      </c>
      <c r="C350" s="22"/>
      <c r="D350" s="22"/>
      <c r="E350" s="22"/>
      <c r="F350" s="63"/>
      <c r="G350" s="186"/>
      <c r="I350" s="103"/>
      <c r="J350" s="103"/>
      <c r="K350" s="103"/>
    </row>
    <row r="351" spans="1:11">
      <c r="A351" s="32"/>
      <c r="B351" s="23" t="s">
        <v>820</v>
      </c>
      <c r="C351" s="22"/>
      <c r="D351" s="22">
        <f>0.2*2.5*1.3*2</f>
        <v>1.3</v>
      </c>
      <c r="E351" s="22"/>
      <c r="F351" s="63"/>
      <c r="G351" s="403"/>
      <c r="I351" s="103"/>
      <c r="J351" s="103"/>
      <c r="K351" s="103"/>
    </row>
    <row r="352" spans="1:11">
      <c r="A352" s="32"/>
      <c r="B352" s="23"/>
      <c r="C352" s="22"/>
      <c r="D352" s="22"/>
      <c r="E352" s="22"/>
      <c r="F352" s="63"/>
      <c r="G352" s="403"/>
      <c r="I352" s="103"/>
      <c r="J352" s="103"/>
      <c r="K352" s="103"/>
    </row>
    <row r="353" spans="1:11">
      <c r="A353" s="32"/>
      <c r="B353" s="22" t="s">
        <v>361</v>
      </c>
      <c r="C353" s="22"/>
      <c r="D353" s="22"/>
      <c r="E353" s="22"/>
      <c r="F353" s="63"/>
      <c r="G353" s="403"/>
      <c r="I353" s="103"/>
      <c r="J353" s="103"/>
      <c r="K353" s="103"/>
    </row>
    <row r="354" spans="1:11">
      <c r="A354" s="32"/>
      <c r="B354" s="23" t="s">
        <v>821</v>
      </c>
      <c r="C354" s="22"/>
      <c r="D354" s="22">
        <f>0.2*2.5*1.3*2*3</f>
        <v>3.9000000000000004</v>
      </c>
      <c r="E354" s="22"/>
      <c r="F354" s="63"/>
      <c r="G354" s="403"/>
      <c r="I354" s="103"/>
      <c r="J354" s="103"/>
      <c r="K354" s="103"/>
    </row>
    <row r="355" spans="1:11">
      <c r="A355" s="32"/>
      <c r="B355" s="22"/>
      <c r="C355" s="22"/>
      <c r="D355" s="22"/>
      <c r="E355" s="22"/>
      <c r="F355" s="63"/>
      <c r="G355" s="186"/>
      <c r="I355" s="103"/>
      <c r="J355" s="103"/>
      <c r="K355" s="103"/>
    </row>
    <row r="356" spans="1:11">
      <c r="A356" s="32"/>
      <c r="B356" s="22" t="s">
        <v>218</v>
      </c>
      <c r="C356" s="24" t="s">
        <v>40</v>
      </c>
      <c r="D356" s="22">
        <f>SUM(D347:D355)</f>
        <v>8.4279200000000003</v>
      </c>
      <c r="E356" s="14"/>
      <c r="F356" s="30">
        <f>D356*E356</f>
        <v>0</v>
      </c>
      <c r="G356" s="186"/>
      <c r="H356" s="126"/>
      <c r="I356" s="103"/>
      <c r="J356" s="103"/>
      <c r="K356" s="103"/>
    </row>
    <row r="357" spans="1:11">
      <c r="A357" s="32"/>
      <c r="B357" s="129"/>
      <c r="C357" s="22"/>
      <c r="D357" s="22"/>
      <c r="E357" s="22"/>
      <c r="F357" s="63"/>
      <c r="G357" s="186"/>
      <c r="I357" s="103"/>
      <c r="J357" s="103"/>
      <c r="K357" s="103"/>
    </row>
    <row r="358" spans="1:11" ht="51">
      <c r="A358" s="76" t="s">
        <v>93</v>
      </c>
      <c r="B358" s="16" t="s">
        <v>347</v>
      </c>
      <c r="C358" s="22"/>
      <c r="D358" s="22"/>
      <c r="E358" s="22"/>
      <c r="F358" s="63"/>
      <c r="G358" s="186"/>
      <c r="I358" s="103"/>
      <c r="J358" s="103"/>
      <c r="K358" s="103"/>
    </row>
    <row r="359" spans="1:11" ht="38.25">
      <c r="A359" s="32"/>
      <c r="B359" s="16" t="s">
        <v>217</v>
      </c>
      <c r="C359" s="22"/>
      <c r="D359" s="22"/>
      <c r="E359" s="22"/>
      <c r="F359" s="63"/>
      <c r="G359" s="186"/>
      <c r="I359" s="103"/>
      <c r="J359" s="103"/>
      <c r="K359" s="103"/>
    </row>
    <row r="360" spans="1:11" ht="38.25">
      <c r="A360" s="32"/>
      <c r="B360" s="16" t="s">
        <v>362</v>
      </c>
      <c r="C360" s="22"/>
      <c r="D360" s="22"/>
      <c r="E360" s="22"/>
      <c r="F360" s="63"/>
      <c r="G360" s="186"/>
      <c r="I360" s="103"/>
      <c r="J360" s="103"/>
      <c r="K360" s="103"/>
    </row>
    <row r="361" spans="1:11" ht="38.25">
      <c r="A361" s="32"/>
      <c r="B361" s="162" t="s">
        <v>100</v>
      </c>
      <c r="C361" s="22"/>
      <c r="D361" s="22"/>
      <c r="E361" s="22"/>
      <c r="F361" s="63"/>
      <c r="G361" s="186"/>
      <c r="I361" s="103"/>
      <c r="J361" s="103"/>
      <c r="K361" s="103"/>
    </row>
    <row r="362" spans="1:11">
      <c r="A362" s="32"/>
      <c r="B362" s="162"/>
      <c r="C362" s="22"/>
      <c r="D362" s="22"/>
      <c r="E362" s="22"/>
      <c r="F362" s="63"/>
      <c r="G362" s="186"/>
      <c r="I362" s="103"/>
      <c r="J362" s="103"/>
      <c r="K362" s="103"/>
    </row>
    <row r="363" spans="1:11">
      <c r="A363" s="32"/>
      <c r="B363" s="22" t="s">
        <v>27</v>
      </c>
      <c r="C363" s="22"/>
      <c r="D363" s="22"/>
      <c r="E363" s="22"/>
      <c r="F363" s="63"/>
      <c r="G363" s="186"/>
      <c r="I363" s="103"/>
      <c r="J363" s="103"/>
      <c r="K363" s="103"/>
    </row>
    <row r="364" spans="1:11" ht="102">
      <c r="A364" s="32"/>
      <c r="B364" s="23" t="s">
        <v>827</v>
      </c>
      <c r="C364" s="22"/>
      <c r="D364" s="80">
        <f>2.5*(1.15+2.09)+2.77*(6.8+2.48*2+3.17+2.07+1+1.78*2+0.54+1.81+2.83+2.09+2.32+2.6+1.82+0.8+1.82+2.65+3.65+2.15+6.74+2.5*2+3.17+2.07+1+1.82+0.83*2+2.21+7.54+2.94+2.09*2+1.1+4.46)+1.2*(2.88+1.81+2.75+2.06+1.05)-(0.8*2.05*15+0.85*2.05*2+0.9*2.05*2+0.95*2.05*5+1*2.05*2)</f>
        <v>225.91559999999993</v>
      </c>
      <c r="E364" s="22"/>
      <c r="F364" s="63"/>
      <c r="G364" s="186"/>
      <c r="I364" s="103"/>
      <c r="J364" s="103"/>
      <c r="K364" s="103"/>
    </row>
    <row r="365" spans="1:11">
      <c r="A365" s="32"/>
      <c r="B365" s="22"/>
      <c r="C365" s="22"/>
      <c r="D365" s="22"/>
      <c r="E365" s="22"/>
      <c r="F365" s="63"/>
      <c r="G365" s="186"/>
      <c r="I365" s="103"/>
      <c r="J365" s="103"/>
      <c r="K365" s="103"/>
    </row>
    <row r="366" spans="1:11">
      <c r="A366" s="32"/>
      <c r="B366" s="22" t="s">
        <v>360</v>
      </c>
      <c r="C366" s="22"/>
      <c r="D366" s="22"/>
      <c r="E366" s="22"/>
      <c r="F366" s="63"/>
      <c r="G366" s="186"/>
      <c r="I366" s="103"/>
      <c r="J366" s="103"/>
      <c r="K366" s="103"/>
    </row>
    <row r="367" spans="1:11" ht="114.75">
      <c r="A367" s="198"/>
      <c r="B367" s="222" t="s">
        <v>828</v>
      </c>
      <c r="C367" s="196"/>
      <c r="D367" s="203">
        <f>2.5*(1.15+2.09)+2.77*(6.8+2.48*2+3.17+2.07+1+1.78*2+0.54+1.81+2.83+2.09+2.32+2.6+1.82+0.8+1.82+2.65+3.65+2.15+6.74+2.5*2+3.17+2.07+1+1.82+0.83+3+2.27+0.7+1.82+5.32+0.7+1.7+3.72+3.15+0.4)+1.2*(2.88+1.81+2.75+2.06+1.05*2)-(0.8*2.05*15+0.85*2.05*2+0.9*2.05+0.95*2.05*6)</f>
        <v>229.84349999999995</v>
      </c>
      <c r="E367" s="196"/>
      <c r="F367" s="197"/>
      <c r="G367" s="186"/>
      <c r="I367" s="103"/>
      <c r="J367" s="103"/>
      <c r="K367" s="103"/>
    </row>
    <row r="368" spans="1:11">
      <c r="A368" s="32"/>
      <c r="B368" s="22"/>
      <c r="C368" s="22"/>
      <c r="D368" s="22"/>
      <c r="E368" s="22"/>
      <c r="F368" s="63"/>
      <c r="G368" s="186"/>
      <c r="I368" s="103"/>
      <c r="J368" s="103"/>
      <c r="K368" s="103"/>
    </row>
    <row r="369" spans="1:11">
      <c r="A369" s="32"/>
      <c r="B369" s="22" t="s">
        <v>361</v>
      </c>
      <c r="C369" s="22"/>
      <c r="D369" s="22"/>
      <c r="E369" s="22"/>
      <c r="F369" s="63"/>
      <c r="G369" s="186"/>
      <c r="I369" s="103"/>
      <c r="J369" s="103"/>
      <c r="K369" s="103"/>
    </row>
    <row r="370" spans="1:11" s="103" customFormat="1" ht="114.75">
      <c r="A370" s="32"/>
      <c r="B370" s="23" t="s">
        <v>829</v>
      </c>
      <c r="C370" s="22"/>
      <c r="D370" s="80">
        <f>2.5*(1.15+2.09)+2.77*(6.8+2.48*2+3.17+2.07+1+1.78*2+0.54+1.81+2.83+2.09+2.32+2.6+1.82+0.8+1.82+2.65+3.65+2.15+6.74+2.5*2+3.17+2.07+1+1.82+0.83+3+2.27+0.7+1.82+5.32+0.7+1.7+3.72+3.15+0.4)*3+1.2*(2.88+1.81+2.75+2.06+1.05*2)*3-(0.8*2.05*15+0.85*2.05*2+0.9*2.05+0.95*2.05*6)*3</f>
        <v>673.3304999999998</v>
      </c>
      <c r="E370" s="22"/>
      <c r="F370" s="63"/>
      <c r="G370" s="186"/>
    </row>
    <row r="371" spans="1:11" ht="10.5" customHeight="1">
      <c r="A371" s="32"/>
      <c r="B371" s="307"/>
      <c r="C371" s="22"/>
      <c r="D371" s="80"/>
      <c r="E371" s="22"/>
      <c r="F371" s="63"/>
      <c r="G371" s="186"/>
      <c r="I371" s="103"/>
      <c r="J371" s="103"/>
      <c r="K371" s="103"/>
    </row>
    <row r="372" spans="1:11">
      <c r="A372" s="32"/>
      <c r="B372" s="22" t="s">
        <v>219</v>
      </c>
      <c r="C372" s="24" t="s">
        <v>38</v>
      </c>
      <c r="D372" s="22">
        <f>SUM(D364:D370)</f>
        <v>1129.0895999999998</v>
      </c>
      <c r="E372" s="10"/>
      <c r="F372" s="30">
        <f>D372*E372</f>
        <v>0</v>
      </c>
      <c r="G372" s="186"/>
      <c r="H372" s="9"/>
      <c r="I372" s="103"/>
      <c r="J372" s="103"/>
      <c r="K372" s="103"/>
    </row>
    <row r="373" spans="1:11">
      <c r="A373" s="32"/>
      <c r="B373" s="103"/>
      <c r="C373" s="24"/>
      <c r="D373" s="22"/>
      <c r="E373" s="10"/>
      <c r="F373" s="30"/>
      <c r="G373" s="186"/>
      <c r="H373" s="9"/>
      <c r="I373" s="103"/>
      <c r="J373" s="103"/>
      <c r="K373" s="103"/>
    </row>
    <row r="374" spans="1:11" ht="38.25">
      <c r="A374" s="76" t="s">
        <v>94</v>
      </c>
      <c r="B374" s="103" t="s">
        <v>978</v>
      </c>
      <c r="C374" s="24"/>
      <c r="D374" s="22"/>
      <c r="E374" s="10"/>
      <c r="F374" s="30"/>
      <c r="G374" s="186"/>
      <c r="H374" s="9"/>
      <c r="I374" s="103"/>
      <c r="J374" s="103"/>
      <c r="K374" s="103"/>
    </row>
    <row r="375" spans="1:11" ht="25.5">
      <c r="A375" s="32"/>
      <c r="B375" s="103" t="s">
        <v>979</v>
      </c>
      <c r="C375" s="24"/>
      <c r="D375" s="22"/>
      <c r="E375" s="10"/>
      <c r="F375" s="30"/>
      <c r="G375" s="186"/>
      <c r="H375" s="9"/>
      <c r="I375" s="103"/>
      <c r="J375" s="103"/>
      <c r="K375" s="103"/>
    </row>
    <row r="376" spans="1:11" ht="38.25">
      <c r="A376" s="32"/>
      <c r="B376" s="103" t="s">
        <v>374</v>
      </c>
      <c r="C376" s="24"/>
      <c r="D376" s="22"/>
      <c r="E376" s="10"/>
      <c r="F376" s="30"/>
      <c r="G376" s="186"/>
      <c r="H376" s="9"/>
      <c r="I376" s="103"/>
      <c r="J376" s="103"/>
      <c r="K376" s="103"/>
    </row>
    <row r="377" spans="1:11">
      <c r="A377" s="32"/>
      <c r="B377" s="237" t="s">
        <v>41</v>
      </c>
      <c r="C377" s="24"/>
      <c r="D377" s="22"/>
      <c r="E377" s="10"/>
      <c r="F377" s="30"/>
      <c r="G377" s="186"/>
      <c r="H377" s="9"/>
      <c r="I377" s="103"/>
      <c r="J377" s="103"/>
      <c r="K377" s="103"/>
    </row>
    <row r="378" spans="1:11">
      <c r="A378" s="32"/>
      <c r="B378" s="22"/>
      <c r="C378" s="24"/>
      <c r="D378" s="22"/>
      <c r="E378" s="10"/>
      <c r="F378" s="30"/>
      <c r="G378" s="186"/>
      <c r="H378" s="9"/>
      <c r="I378" s="103"/>
      <c r="J378" s="103"/>
      <c r="K378" s="103"/>
    </row>
    <row r="379" spans="1:11">
      <c r="A379" s="32"/>
      <c r="B379" s="22" t="s">
        <v>27</v>
      </c>
      <c r="C379" s="22"/>
      <c r="D379" s="22"/>
      <c r="E379" s="19"/>
      <c r="F379" s="63"/>
      <c r="G379" s="186"/>
      <c r="H379" s="9"/>
      <c r="I379" s="103"/>
      <c r="J379" s="103"/>
      <c r="K379" s="103"/>
    </row>
    <row r="380" spans="1:11">
      <c r="A380" s="32"/>
      <c r="B380" s="23" t="s">
        <v>830</v>
      </c>
      <c r="C380" s="22"/>
      <c r="D380" s="80">
        <f>0.6*(1.9+1.61+1.8+1.98+1.6)</f>
        <v>5.3339999999999987</v>
      </c>
      <c r="E380" s="19"/>
      <c r="F380" s="63"/>
      <c r="G380" s="186"/>
      <c r="H380" s="9"/>
      <c r="I380" s="103"/>
      <c r="J380" s="103"/>
      <c r="K380" s="103"/>
    </row>
    <row r="381" spans="1:11">
      <c r="A381" s="32"/>
      <c r="B381" s="22"/>
      <c r="C381" s="22"/>
      <c r="D381" s="22"/>
      <c r="E381" s="19"/>
      <c r="F381" s="63"/>
      <c r="G381" s="186"/>
      <c r="H381" s="9"/>
      <c r="I381" s="103"/>
      <c r="J381" s="103"/>
      <c r="K381" s="103"/>
    </row>
    <row r="382" spans="1:11">
      <c r="A382" s="32"/>
      <c r="B382" s="22" t="s">
        <v>360</v>
      </c>
      <c r="C382" s="22"/>
      <c r="D382" s="22"/>
      <c r="E382" s="19"/>
      <c r="F382" s="63"/>
      <c r="G382" s="186"/>
      <c r="H382" s="9"/>
      <c r="I382" s="103"/>
      <c r="J382" s="103"/>
      <c r="K382" s="103"/>
    </row>
    <row r="383" spans="1:11">
      <c r="A383" s="32"/>
      <c r="B383" s="23" t="s">
        <v>831</v>
      </c>
      <c r="C383" s="22"/>
      <c r="D383" s="80">
        <f>0.6*(1.9+1.61+1.8+1.62+1.6*2)</f>
        <v>6.0779999999999994</v>
      </c>
      <c r="E383" s="19"/>
      <c r="F383" s="63"/>
      <c r="G383" s="186"/>
      <c r="H383" s="9"/>
      <c r="I383" s="103"/>
      <c r="J383" s="103"/>
      <c r="K383" s="103"/>
    </row>
    <row r="384" spans="1:11">
      <c r="A384" s="32"/>
      <c r="B384" s="22"/>
      <c r="C384" s="22"/>
      <c r="D384" s="22"/>
      <c r="E384" s="19"/>
      <c r="F384" s="63"/>
      <c r="G384" s="186"/>
      <c r="H384" s="9"/>
      <c r="I384" s="103"/>
      <c r="J384" s="103"/>
      <c r="K384" s="103"/>
    </row>
    <row r="385" spans="1:11">
      <c r="A385" s="32"/>
      <c r="B385" s="22" t="s">
        <v>361</v>
      </c>
      <c r="C385" s="22"/>
      <c r="D385" s="22"/>
      <c r="E385" s="19"/>
      <c r="F385" s="63"/>
      <c r="G385" s="186"/>
      <c r="H385" s="9"/>
      <c r="I385" s="103"/>
      <c r="J385" s="103"/>
      <c r="K385" s="103"/>
    </row>
    <row r="386" spans="1:11">
      <c r="A386" s="32"/>
      <c r="B386" s="23" t="s">
        <v>832</v>
      </c>
      <c r="C386" s="22"/>
      <c r="D386" s="80">
        <f>0.6*(1.9+1.61+1.8+1.62+1.6*2)*3</f>
        <v>18.233999999999998</v>
      </c>
      <c r="E386" s="19"/>
      <c r="F386" s="63"/>
      <c r="G386" s="186"/>
      <c r="H386" s="9"/>
      <c r="I386" s="103"/>
      <c r="J386" s="103"/>
      <c r="K386" s="103"/>
    </row>
    <row r="387" spans="1:11">
      <c r="A387" s="32"/>
      <c r="B387" s="103"/>
      <c r="C387" s="22"/>
      <c r="D387" s="22"/>
      <c r="E387" s="19"/>
      <c r="F387" s="63"/>
      <c r="G387" s="186"/>
      <c r="H387" s="9"/>
      <c r="I387" s="103"/>
      <c r="J387" s="103"/>
      <c r="K387" s="103"/>
    </row>
    <row r="388" spans="1:11">
      <c r="A388" s="32"/>
      <c r="B388" s="22" t="s">
        <v>220</v>
      </c>
      <c r="C388" s="24" t="s">
        <v>38</v>
      </c>
      <c r="D388" s="22">
        <f>SUM(D380:D387)</f>
        <v>29.645999999999997</v>
      </c>
      <c r="E388" s="10"/>
      <c r="F388" s="63">
        <f>D388*E388</f>
        <v>0</v>
      </c>
      <c r="G388" s="186"/>
      <c r="H388" s="9"/>
      <c r="I388" s="103"/>
      <c r="J388" s="103"/>
      <c r="K388" s="103"/>
    </row>
    <row r="389" spans="1:11" s="103" customFormat="1">
      <c r="A389" s="32"/>
      <c r="B389" s="22"/>
      <c r="C389" s="22"/>
      <c r="D389" s="22"/>
      <c r="E389" s="22"/>
      <c r="F389" s="63"/>
      <c r="G389" s="186"/>
    </row>
    <row r="390" spans="1:11" s="103" customFormat="1" ht="25.5">
      <c r="A390" s="76" t="s">
        <v>95</v>
      </c>
      <c r="B390" s="22" t="s">
        <v>363</v>
      </c>
      <c r="C390" s="22"/>
      <c r="D390" s="22"/>
      <c r="E390" s="19"/>
      <c r="F390" s="63"/>
      <c r="G390" s="186"/>
    </row>
    <row r="391" spans="1:11" s="103" customFormat="1" ht="51">
      <c r="A391" s="32"/>
      <c r="B391" s="22" t="s">
        <v>364</v>
      </c>
      <c r="C391" s="22"/>
      <c r="D391" s="22"/>
      <c r="E391" s="19"/>
      <c r="F391" s="63"/>
      <c r="G391" s="186"/>
    </row>
    <row r="392" spans="1:11" s="103" customFormat="1" ht="51">
      <c r="A392" s="32"/>
      <c r="B392" s="22" t="s">
        <v>365</v>
      </c>
      <c r="C392" s="22"/>
      <c r="D392" s="22"/>
      <c r="E392" s="19"/>
      <c r="F392" s="63"/>
      <c r="G392" s="186"/>
    </row>
    <row r="393" spans="1:11" s="103" customFormat="1" ht="25.5">
      <c r="A393" s="198"/>
      <c r="B393" s="196" t="s">
        <v>366</v>
      </c>
      <c r="C393" s="196"/>
      <c r="D393" s="196"/>
      <c r="E393" s="210"/>
      <c r="F393" s="197"/>
      <c r="G393" s="186"/>
    </row>
    <row r="394" spans="1:11" s="103" customFormat="1">
      <c r="A394" s="32"/>
      <c r="C394" s="22"/>
      <c r="D394" s="22"/>
      <c r="E394" s="19"/>
      <c r="F394" s="63"/>
      <c r="G394" s="186"/>
    </row>
    <row r="395" spans="1:11" s="103" customFormat="1" ht="76.5">
      <c r="A395" s="32"/>
      <c r="B395" s="227" t="s">
        <v>367</v>
      </c>
      <c r="C395" s="22"/>
      <c r="D395" s="22"/>
      <c r="E395" s="19"/>
      <c r="F395" s="63"/>
      <c r="G395" s="186"/>
    </row>
    <row r="396" spans="1:11" s="103" customFormat="1" ht="38.25">
      <c r="A396" s="32"/>
      <c r="B396" s="232" t="s">
        <v>368</v>
      </c>
      <c r="C396" s="22"/>
      <c r="D396" s="22"/>
      <c r="E396" s="19"/>
      <c r="F396" s="63"/>
      <c r="G396" s="186"/>
    </row>
    <row r="397" spans="1:11" s="103" customFormat="1">
      <c r="A397" s="32"/>
      <c r="B397" s="227" t="s">
        <v>96</v>
      </c>
      <c r="C397" s="22"/>
      <c r="D397" s="22"/>
      <c r="E397" s="19"/>
      <c r="F397" s="63"/>
      <c r="G397" s="186"/>
    </row>
    <row r="398" spans="1:11" s="103" customFormat="1">
      <c r="A398" s="32"/>
      <c r="B398" s="22"/>
      <c r="C398" s="22"/>
      <c r="D398" s="22"/>
      <c r="E398" s="19"/>
      <c r="F398" s="63"/>
      <c r="G398" s="186"/>
    </row>
    <row r="399" spans="1:11" s="103" customFormat="1">
      <c r="A399" s="32"/>
      <c r="B399" s="23" t="s">
        <v>833</v>
      </c>
      <c r="C399" s="24" t="s">
        <v>39</v>
      </c>
      <c r="D399" s="22">
        <f>2.77*15+2.77*16*4+2.58*16</f>
        <v>260.11</v>
      </c>
      <c r="E399" s="19"/>
      <c r="F399" s="63">
        <f>D399*E399</f>
        <v>0</v>
      </c>
      <c r="G399" s="186"/>
    </row>
    <row r="400" spans="1:11" s="103" customFormat="1">
      <c r="A400" s="32"/>
      <c r="B400" s="22"/>
      <c r="C400" s="22"/>
      <c r="D400" s="22"/>
      <c r="E400" s="22"/>
      <c r="F400" s="63"/>
      <c r="G400" s="186"/>
    </row>
    <row r="401" spans="1:9" s="103" customFormat="1" ht="51">
      <c r="A401" s="76" t="s">
        <v>143</v>
      </c>
      <c r="B401" s="103" t="s">
        <v>369</v>
      </c>
      <c r="C401" s="22"/>
      <c r="D401" s="22"/>
      <c r="E401" s="19"/>
      <c r="F401" s="63"/>
      <c r="G401" s="186"/>
    </row>
    <row r="402" spans="1:9" s="103" customFormat="1" ht="38.25">
      <c r="A402" s="76"/>
      <c r="B402" s="103" t="s">
        <v>370</v>
      </c>
      <c r="C402" s="22"/>
      <c r="D402" s="22"/>
      <c r="E402" s="19"/>
      <c r="F402" s="63"/>
      <c r="G402" s="186"/>
    </row>
    <row r="403" spans="1:9" s="103" customFormat="1" ht="51">
      <c r="A403" s="32"/>
      <c r="B403" s="103" t="s">
        <v>371</v>
      </c>
      <c r="C403" s="22"/>
      <c r="D403" s="22"/>
      <c r="E403" s="19"/>
      <c r="F403" s="63"/>
      <c r="G403" s="186"/>
    </row>
    <row r="404" spans="1:9" s="103" customFormat="1">
      <c r="A404" s="32"/>
      <c r="B404" s="237" t="s">
        <v>41</v>
      </c>
      <c r="C404" s="22"/>
      <c r="D404" s="22"/>
      <c r="E404" s="19"/>
      <c r="F404" s="63"/>
      <c r="G404" s="186"/>
    </row>
    <row r="405" spans="1:9" s="103" customFormat="1">
      <c r="A405" s="32"/>
      <c r="B405" s="80"/>
      <c r="C405" s="22"/>
      <c r="D405" s="22"/>
      <c r="E405" s="19"/>
      <c r="F405" s="63"/>
      <c r="G405" s="186"/>
    </row>
    <row r="406" spans="1:9" s="103" customFormat="1" ht="25.5">
      <c r="A406" s="32"/>
      <c r="B406" s="112" t="s">
        <v>834</v>
      </c>
      <c r="C406" s="22"/>
      <c r="D406" s="22"/>
      <c r="E406" s="19"/>
      <c r="F406" s="63"/>
      <c r="G406" s="186"/>
    </row>
    <row r="407" spans="1:9" s="103" customFormat="1">
      <c r="A407" s="32"/>
      <c r="B407" s="22" t="s">
        <v>27</v>
      </c>
      <c r="C407" s="22"/>
      <c r="D407" s="22"/>
      <c r="E407" s="19"/>
      <c r="F407" s="63"/>
      <c r="G407" s="186"/>
    </row>
    <row r="408" spans="1:9" s="103" customFormat="1">
      <c r="A408" s="32"/>
      <c r="B408" s="23" t="s">
        <v>835</v>
      </c>
      <c r="C408" s="22"/>
      <c r="D408" s="80">
        <f>2.77*(1.9+1.52+2.44+2.28*2)</f>
        <v>28.863399999999995</v>
      </c>
      <c r="E408" s="19"/>
      <c r="F408" s="63"/>
      <c r="G408" s="186"/>
    </row>
    <row r="409" spans="1:9" s="103" customFormat="1">
      <c r="A409" s="32"/>
      <c r="B409" s="22"/>
      <c r="C409" s="22"/>
      <c r="D409" s="22"/>
      <c r="E409" s="19"/>
      <c r="F409" s="63"/>
      <c r="G409" s="186"/>
    </row>
    <row r="410" spans="1:9" s="103" customFormat="1">
      <c r="A410" s="32"/>
      <c r="B410" s="22" t="s">
        <v>360</v>
      </c>
      <c r="C410" s="22"/>
      <c r="D410" s="22"/>
      <c r="E410" s="19"/>
      <c r="F410" s="63"/>
      <c r="G410" s="186"/>
    </row>
    <row r="411" spans="1:9" s="103" customFormat="1">
      <c r="A411" s="32"/>
      <c r="B411" s="23" t="s">
        <v>836</v>
      </c>
      <c r="C411" s="22"/>
      <c r="D411" s="80">
        <f>2.77*(1.9+1.52+2.44+2.28+1.72+1.48)</f>
        <v>31.411799999999999</v>
      </c>
      <c r="E411" s="19"/>
      <c r="F411" s="63"/>
      <c r="G411" s="186"/>
    </row>
    <row r="412" spans="1:9" s="103" customFormat="1">
      <c r="A412" s="32"/>
      <c r="B412" s="22"/>
      <c r="C412" s="22"/>
      <c r="D412" s="22"/>
      <c r="E412" s="19"/>
      <c r="F412" s="63"/>
      <c r="G412" s="186"/>
    </row>
    <row r="413" spans="1:9" s="103" customFormat="1">
      <c r="A413" s="32"/>
      <c r="B413" s="22" t="s">
        <v>361</v>
      </c>
      <c r="C413" s="22"/>
      <c r="D413" s="22"/>
      <c r="E413" s="19"/>
      <c r="F413" s="63"/>
      <c r="G413" s="186"/>
    </row>
    <row r="414" spans="1:9" s="103" customFormat="1" ht="25.5">
      <c r="A414" s="32"/>
      <c r="B414" s="23" t="s">
        <v>837</v>
      </c>
      <c r="C414" s="22"/>
      <c r="D414" s="80">
        <f>2.77*(1.9+1.52+2.44+2.28+1.72+1.48)*3</f>
        <v>94.235399999999998</v>
      </c>
      <c r="E414" s="19"/>
      <c r="F414" s="63"/>
      <c r="G414" s="186"/>
    </row>
    <row r="415" spans="1:9" s="103" customFormat="1">
      <c r="A415" s="32"/>
      <c r="C415" s="22"/>
      <c r="D415" s="22"/>
      <c r="E415" s="19"/>
      <c r="F415" s="63"/>
      <c r="G415" s="186"/>
      <c r="I415" s="249"/>
    </row>
    <row r="416" spans="1:9" s="103" customFormat="1">
      <c r="A416" s="32"/>
      <c r="B416" s="22" t="s">
        <v>377</v>
      </c>
      <c r="C416" s="24" t="s">
        <v>38</v>
      </c>
      <c r="D416" s="22">
        <f>SUM(D408:D415)</f>
        <v>154.51060000000001</v>
      </c>
      <c r="E416" s="10"/>
      <c r="F416" s="63">
        <f>D416*E416</f>
        <v>0</v>
      </c>
      <c r="G416" s="186"/>
    </row>
    <row r="417" spans="1:7" s="103" customFormat="1">
      <c r="A417" s="32"/>
      <c r="B417" s="22"/>
      <c r="C417" s="22"/>
      <c r="D417" s="22"/>
      <c r="E417" s="22"/>
      <c r="F417" s="63"/>
      <c r="G417" s="186"/>
    </row>
    <row r="418" spans="1:7" s="103" customFormat="1" ht="51">
      <c r="A418" s="76" t="s">
        <v>144</v>
      </c>
      <c r="B418" s="103" t="s">
        <v>373</v>
      </c>
      <c r="C418" s="22"/>
      <c r="D418" s="22"/>
      <c r="E418" s="22"/>
      <c r="F418" s="63"/>
      <c r="G418" s="186"/>
    </row>
    <row r="419" spans="1:7" s="103" customFormat="1" ht="38.25">
      <c r="A419" s="76"/>
      <c r="B419" s="103" t="s">
        <v>370</v>
      </c>
      <c r="C419" s="22"/>
      <c r="D419" s="22"/>
      <c r="E419" s="22"/>
      <c r="F419" s="63"/>
      <c r="G419" s="186"/>
    </row>
    <row r="420" spans="1:7" s="103" customFormat="1" ht="38.25">
      <c r="A420" s="204"/>
      <c r="B420" s="308" t="s">
        <v>374</v>
      </c>
      <c r="C420" s="196"/>
      <c r="D420" s="196"/>
      <c r="E420" s="196"/>
      <c r="F420" s="197"/>
      <c r="G420" s="186"/>
    </row>
    <row r="421" spans="1:7" s="103" customFormat="1">
      <c r="A421" s="76"/>
      <c r="C421" s="22"/>
      <c r="D421" s="22"/>
      <c r="E421" s="22"/>
      <c r="F421" s="63"/>
      <c r="G421" s="186"/>
    </row>
    <row r="422" spans="1:7" s="103" customFormat="1" ht="25.5">
      <c r="A422" s="76"/>
      <c r="B422" s="103" t="s">
        <v>375</v>
      </c>
      <c r="C422" s="22"/>
      <c r="D422" s="22"/>
      <c r="E422" s="22"/>
      <c r="F422" s="63"/>
      <c r="G422" s="186"/>
    </row>
    <row r="423" spans="1:7" s="103" customFormat="1" ht="38.25">
      <c r="A423" s="76"/>
      <c r="B423" s="103" t="s">
        <v>376</v>
      </c>
      <c r="C423" s="22"/>
      <c r="D423" s="22"/>
      <c r="E423" s="22"/>
      <c r="F423" s="63"/>
      <c r="G423" s="186"/>
    </row>
    <row r="424" spans="1:7" s="103" customFormat="1">
      <c r="A424" s="32"/>
      <c r="B424" s="237" t="s">
        <v>41</v>
      </c>
      <c r="C424" s="22"/>
      <c r="D424" s="22"/>
      <c r="E424" s="22"/>
      <c r="F424" s="63"/>
      <c r="G424" s="186"/>
    </row>
    <row r="425" spans="1:7" s="103" customFormat="1">
      <c r="A425" s="32"/>
      <c r="B425" s="22"/>
      <c r="C425" s="22"/>
      <c r="D425" s="22"/>
      <c r="E425" s="22"/>
      <c r="F425" s="63"/>
      <c r="G425" s="186"/>
    </row>
    <row r="426" spans="1:7" s="103" customFormat="1">
      <c r="A426" s="32"/>
      <c r="B426" s="112" t="s">
        <v>372</v>
      </c>
      <c r="C426" s="22"/>
      <c r="D426" s="22"/>
      <c r="E426" s="19"/>
      <c r="F426" s="63"/>
      <c r="G426" s="186"/>
    </row>
    <row r="427" spans="1:7" s="103" customFormat="1">
      <c r="A427" s="32"/>
      <c r="B427" s="22" t="s">
        <v>27</v>
      </c>
      <c r="C427" s="22"/>
      <c r="D427" s="22"/>
      <c r="E427" s="19"/>
      <c r="F427" s="63"/>
      <c r="G427" s="186"/>
    </row>
    <row r="428" spans="1:7" s="103" customFormat="1" ht="25.5">
      <c r="A428" s="32"/>
      <c r="B428" s="23" t="s">
        <v>839</v>
      </c>
      <c r="C428" s="22"/>
      <c r="D428" s="80">
        <f>2.77*(0.67*2+1*2+0.6*4+0.68+1+0.29*9)</f>
        <v>27.783099999999997</v>
      </c>
      <c r="E428" s="19"/>
      <c r="F428" s="63"/>
      <c r="G428" s="186"/>
    </row>
    <row r="429" spans="1:7" s="103" customFormat="1">
      <c r="A429" s="32"/>
      <c r="B429" s="22"/>
      <c r="C429" s="22"/>
      <c r="D429" s="22"/>
      <c r="E429" s="19"/>
      <c r="F429" s="63"/>
      <c r="G429" s="186"/>
    </row>
    <row r="430" spans="1:7" s="103" customFormat="1">
      <c r="A430" s="32"/>
      <c r="B430" s="22" t="s">
        <v>360</v>
      </c>
      <c r="C430" s="22"/>
      <c r="D430" s="22"/>
      <c r="E430" s="19"/>
      <c r="F430" s="63"/>
      <c r="G430" s="186"/>
    </row>
    <row r="431" spans="1:7" s="103" customFormat="1" ht="25.5">
      <c r="A431" s="32"/>
      <c r="B431" s="23" t="s">
        <v>838</v>
      </c>
      <c r="C431" s="22"/>
      <c r="D431" s="80">
        <f>2.77*(0.67*3+1*2+0.6*5+0.68+0.8+0.29*10)</f>
        <v>31.5503</v>
      </c>
      <c r="E431" s="19"/>
      <c r="F431" s="63"/>
      <c r="G431" s="186"/>
    </row>
    <row r="432" spans="1:7" s="103" customFormat="1">
      <c r="A432" s="32"/>
      <c r="B432" s="22"/>
      <c r="C432" s="22"/>
      <c r="D432" s="22"/>
      <c r="E432" s="19"/>
      <c r="F432" s="63"/>
      <c r="G432" s="186"/>
    </row>
    <row r="433" spans="1:17" s="103" customFormat="1">
      <c r="A433" s="32"/>
      <c r="B433" s="22" t="s">
        <v>361</v>
      </c>
      <c r="C433" s="22"/>
      <c r="D433" s="22"/>
      <c r="E433" s="19"/>
      <c r="F433" s="63"/>
      <c r="G433" s="186"/>
    </row>
    <row r="434" spans="1:17" s="103" customFormat="1" ht="25.5">
      <c r="A434" s="32"/>
      <c r="B434" s="23" t="s">
        <v>840</v>
      </c>
      <c r="C434" s="22"/>
      <c r="D434" s="78">
        <f>2.77*(0.67*3+1*2+0.6*5+0.68+0.8+0.29*10)*3</f>
        <v>94.650900000000007</v>
      </c>
      <c r="E434" s="19"/>
      <c r="F434" s="63"/>
      <c r="G434" s="186"/>
    </row>
    <row r="435" spans="1:17" s="103" customFormat="1">
      <c r="A435" s="32"/>
      <c r="C435" s="22"/>
      <c r="D435" s="22"/>
      <c r="E435" s="19"/>
      <c r="F435" s="63"/>
      <c r="G435" s="186"/>
    </row>
    <row r="436" spans="1:17" s="103" customFormat="1">
      <c r="A436" s="32"/>
      <c r="B436" s="22" t="s">
        <v>382</v>
      </c>
      <c r="C436" s="24" t="s">
        <v>38</v>
      </c>
      <c r="D436" s="22">
        <f>SUM(D428:D435)</f>
        <v>153.98430000000002</v>
      </c>
      <c r="E436" s="10"/>
      <c r="F436" s="63">
        <f>D436*E436</f>
        <v>0</v>
      </c>
      <c r="G436" s="186"/>
    </row>
    <row r="437" spans="1:17" s="103" customFormat="1">
      <c r="A437" s="32"/>
      <c r="B437" s="22"/>
      <c r="C437" s="24"/>
      <c r="D437" s="22"/>
      <c r="E437" s="22"/>
      <c r="F437" s="159"/>
      <c r="G437" s="186"/>
      <c r="K437" s="309"/>
      <c r="L437" s="105"/>
      <c r="M437" s="132"/>
      <c r="N437" s="9"/>
      <c r="P437" s="124"/>
      <c r="Q437" s="6"/>
    </row>
    <row r="438" spans="1:17" s="103" customFormat="1" ht="63.75">
      <c r="A438" s="76" t="s">
        <v>174</v>
      </c>
      <c r="B438" s="103" t="s">
        <v>378</v>
      </c>
      <c r="C438" s="22"/>
      <c r="D438" s="22"/>
      <c r="E438" s="22"/>
      <c r="F438" s="159"/>
      <c r="G438" s="186"/>
      <c r="J438" s="8"/>
      <c r="K438" s="309"/>
      <c r="L438" s="105"/>
      <c r="M438" s="132"/>
      <c r="N438" s="9"/>
      <c r="P438" s="124"/>
      <c r="Q438" s="6"/>
    </row>
    <row r="439" spans="1:17" s="103" customFormat="1" ht="25.5">
      <c r="A439" s="32"/>
      <c r="B439" s="103" t="s">
        <v>379</v>
      </c>
      <c r="C439" s="22"/>
      <c r="D439" s="22"/>
      <c r="E439" s="22"/>
      <c r="F439" s="159"/>
      <c r="G439" s="186"/>
      <c r="J439" s="8"/>
      <c r="K439" s="309"/>
      <c r="L439" s="105"/>
      <c r="M439" s="132"/>
      <c r="N439" s="9"/>
      <c r="P439" s="124"/>
      <c r="Q439" s="6"/>
    </row>
    <row r="440" spans="1:17" s="103" customFormat="1" ht="38.25">
      <c r="A440" s="32"/>
      <c r="B440" s="103" t="s">
        <v>380</v>
      </c>
      <c r="C440" s="22"/>
      <c r="D440" s="22"/>
      <c r="E440" s="22"/>
      <c r="F440" s="159"/>
      <c r="G440" s="186"/>
      <c r="J440" s="8"/>
      <c r="K440" s="309"/>
      <c r="L440" s="105"/>
      <c r="M440" s="132"/>
      <c r="N440" s="9"/>
      <c r="P440" s="124"/>
      <c r="Q440" s="6"/>
    </row>
    <row r="441" spans="1:17" s="103" customFormat="1" ht="25.5">
      <c r="A441" s="32"/>
      <c r="B441" s="103" t="s">
        <v>381</v>
      </c>
      <c r="C441" s="22"/>
      <c r="D441" s="22"/>
      <c r="E441" s="22"/>
      <c r="F441" s="159"/>
      <c r="G441" s="186"/>
      <c r="J441" s="8"/>
      <c r="K441" s="309"/>
      <c r="L441" s="105"/>
      <c r="M441" s="132"/>
      <c r="N441" s="9"/>
      <c r="P441" s="124"/>
      <c r="Q441" s="6"/>
    </row>
    <row r="442" spans="1:17" s="103" customFormat="1" ht="38.25">
      <c r="A442" s="32"/>
      <c r="B442" s="103" t="s">
        <v>376</v>
      </c>
      <c r="C442" s="22"/>
      <c r="D442" s="22"/>
      <c r="E442" s="22"/>
      <c r="F442" s="159"/>
      <c r="G442" s="186"/>
      <c r="J442" s="8"/>
      <c r="K442" s="309"/>
      <c r="L442" s="105"/>
      <c r="M442" s="132"/>
      <c r="N442" s="9"/>
      <c r="P442" s="124"/>
      <c r="Q442" s="6"/>
    </row>
    <row r="443" spans="1:17" s="103" customFormat="1">
      <c r="A443" s="32"/>
      <c r="B443" s="237" t="s">
        <v>41</v>
      </c>
      <c r="C443" s="22"/>
      <c r="D443" s="22"/>
      <c r="E443" s="22"/>
      <c r="F443" s="159"/>
      <c r="G443" s="186"/>
      <c r="J443" s="8"/>
      <c r="K443" s="309"/>
      <c r="L443" s="105"/>
      <c r="M443" s="132"/>
      <c r="N443" s="9"/>
      <c r="P443" s="124"/>
      <c r="Q443" s="6"/>
    </row>
    <row r="444" spans="1:17" s="103" customFormat="1">
      <c r="A444" s="32"/>
      <c r="B444" s="8"/>
      <c r="C444" s="22"/>
      <c r="D444" s="22"/>
      <c r="E444" s="22"/>
      <c r="F444" s="159"/>
      <c r="G444" s="186"/>
      <c r="J444" s="8"/>
      <c r="K444" s="309"/>
      <c r="L444" s="105"/>
      <c r="M444" s="132"/>
      <c r="N444" s="9"/>
      <c r="P444" s="124"/>
      <c r="Q444" s="6"/>
    </row>
    <row r="445" spans="1:17" s="103" customFormat="1">
      <c r="A445" s="32"/>
      <c r="B445" s="22" t="s">
        <v>27</v>
      </c>
      <c r="C445" s="22"/>
      <c r="D445" s="22"/>
      <c r="E445" s="19"/>
      <c r="F445" s="63"/>
      <c r="G445" s="186"/>
      <c r="J445" s="8"/>
      <c r="K445" s="309"/>
      <c r="L445" s="105"/>
      <c r="M445" s="132"/>
      <c r="N445" s="9"/>
      <c r="P445" s="124"/>
      <c r="Q445" s="6"/>
    </row>
    <row r="446" spans="1:17" s="103" customFormat="1">
      <c r="A446" s="32"/>
      <c r="B446" s="23" t="s">
        <v>841</v>
      </c>
      <c r="C446" s="22"/>
      <c r="D446" s="23">
        <f>2.56*(1.6+0.42)-2.4*0.7</f>
        <v>3.4912000000000001</v>
      </c>
      <c r="E446" s="19"/>
      <c r="F446" s="63"/>
      <c r="G446" s="186"/>
      <c r="J446" s="8"/>
      <c r="K446" s="309"/>
      <c r="L446" s="105"/>
      <c r="M446" s="132"/>
      <c r="N446" s="9"/>
      <c r="P446" s="124"/>
      <c r="Q446" s="6"/>
    </row>
    <row r="447" spans="1:17" s="103" customFormat="1">
      <c r="A447" s="32"/>
      <c r="B447" s="22"/>
      <c r="C447" s="22"/>
      <c r="D447" s="22"/>
      <c r="E447" s="19"/>
      <c r="F447" s="63"/>
      <c r="G447" s="186"/>
      <c r="J447" s="8"/>
      <c r="K447" s="309"/>
      <c r="L447" s="105"/>
      <c r="M447" s="132"/>
      <c r="N447" s="9"/>
      <c r="P447" s="124"/>
      <c r="Q447" s="6"/>
    </row>
    <row r="448" spans="1:17" s="103" customFormat="1">
      <c r="A448" s="32"/>
      <c r="B448" s="22" t="s">
        <v>360</v>
      </c>
      <c r="C448" s="22"/>
      <c r="D448" s="22"/>
      <c r="E448" s="19"/>
      <c r="F448" s="63"/>
      <c r="G448" s="186"/>
      <c r="J448" s="8"/>
      <c r="K448" s="309"/>
      <c r="L448" s="105"/>
      <c r="M448" s="132"/>
      <c r="N448" s="9"/>
      <c r="P448" s="124"/>
      <c r="Q448" s="6"/>
    </row>
    <row r="449" spans="1:17" s="103" customFormat="1">
      <c r="A449" s="32"/>
      <c r="B449" s="23" t="s">
        <v>841</v>
      </c>
      <c r="C449" s="22"/>
      <c r="D449" s="23">
        <f>2.56*(1.6+0.42)-2.4*0.7</f>
        <v>3.4912000000000001</v>
      </c>
      <c r="E449" s="19"/>
      <c r="F449" s="63"/>
      <c r="G449" s="186"/>
      <c r="J449" s="8"/>
      <c r="K449" s="309"/>
      <c r="L449" s="105"/>
      <c r="M449" s="132"/>
      <c r="N449" s="9"/>
      <c r="P449" s="124"/>
      <c r="Q449" s="6"/>
    </row>
    <row r="450" spans="1:17" s="103" customFormat="1">
      <c r="A450" s="32"/>
      <c r="B450" s="22"/>
      <c r="C450" s="22"/>
      <c r="D450" s="22"/>
      <c r="E450" s="19"/>
      <c r="F450" s="63"/>
      <c r="G450" s="186"/>
      <c r="J450" s="8"/>
      <c r="K450" s="309"/>
      <c r="L450" s="105"/>
      <c r="M450" s="132"/>
      <c r="N450" s="9"/>
      <c r="P450" s="124"/>
      <c r="Q450" s="6"/>
    </row>
    <row r="451" spans="1:17" s="103" customFormat="1">
      <c r="A451" s="32"/>
      <c r="B451" s="22" t="s">
        <v>361</v>
      </c>
      <c r="C451" s="22"/>
      <c r="D451" s="22"/>
      <c r="E451" s="19"/>
      <c r="F451" s="63"/>
      <c r="G451" s="186"/>
      <c r="J451" s="8"/>
      <c r="K451" s="309"/>
      <c r="L451" s="105"/>
      <c r="M451" s="132"/>
      <c r="N451" s="9"/>
      <c r="P451" s="124"/>
      <c r="Q451" s="6"/>
    </row>
    <row r="452" spans="1:17" s="103" customFormat="1">
      <c r="A452" s="32"/>
      <c r="B452" s="23" t="s">
        <v>842</v>
      </c>
      <c r="C452" s="22"/>
      <c r="D452" s="23">
        <f>2.56*(1.6+0.42)*3-2.4*0.7*3</f>
        <v>10.473600000000001</v>
      </c>
      <c r="E452" s="19"/>
      <c r="F452" s="63"/>
      <c r="G452" s="186"/>
      <c r="J452" s="8"/>
      <c r="K452" s="309"/>
      <c r="L452" s="105"/>
      <c r="M452" s="132"/>
      <c r="N452" s="9"/>
      <c r="P452" s="124"/>
      <c r="Q452" s="6"/>
    </row>
    <row r="453" spans="1:17">
      <c r="A453" s="32"/>
      <c r="B453" s="103"/>
      <c r="C453" s="22"/>
      <c r="D453" s="22"/>
      <c r="E453" s="19"/>
      <c r="F453" s="63"/>
      <c r="G453" s="186"/>
      <c r="I453" s="103"/>
      <c r="J453" s="103"/>
      <c r="K453" s="103"/>
    </row>
    <row r="454" spans="1:17">
      <c r="A454" s="198"/>
      <c r="B454" s="196" t="s">
        <v>225</v>
      </c>
      <c r="C454" s="202" t="s">
        <v>38</v>
      </c>
      <c r="D454" s="196">
        <f>SUM(D446:D453)</f>
        <v>17.456000000000003</v>
      </c>
      <c r="E454" s="215"/>
      <c r="F454" s="197">
        <f>D454*E454</f>
        <v>0</v>
      </c>
      <c r="G454" s="186"/>
      <c r="I454" s="103"/>
      <c r="J454" s="103"/>
      <c r="K454" s="103"/>
    </row>
    <row r="455" spans="1:17">
      <c r="A455" s="32"/>
      <c r="B455" s="22"/>
      <c r="C455" s="24"/>
      <c r="D455" s="22"/>
      <c r="E455" s="10"/>
      <c r="F455" s="63"/>
      <c r="G455" s="186"/>
      <c r="I455" s="103"/>
      <c r="J455" s="103"/>
      <c r="K455" s="103"/>
    </row>
    <row r="456" spans="1:17" ht="63.75">
      <c r="A456" s="76" t="s">
        <v>62</v>
      </c>
      <c r="B456" s="22" t="s">
        <v>383</v>
      </c>
      <c r="C456" s="24"/>
      <c r="D456" s="78"/>
      <c r="E456" s="19"/>
      <c r="F456" s="30"/>
      <c r="G456" s="186"/>
      <c r="I456" s="103"/>
      <c r="J456" s="103"/>
      <c r="K456" s="103"/>
    </row>
    <row r="457" spans="1:17" ht="51">
      <c r="A457" s="32"/>
      <c r="B457" s="16" t="s">
        <v>384</v>
      </c>
      <c r="C457" s="24"/>
      <c r="D457" s="78"/>
      <c r="E457" s="19"/>
      <c r="F457" s="30"/>
      <c r="G457" s="186"/>
      <c r="I457" s="103"/>
      <c r="J457" s="103"/>
      <c r="K457" s="103"/>
    </row>
    <row r="458" spans="1:17" ht="38.25">
      <c r="A458" s="32"/>
      <c r="B458" s="16" t="s">
        <v>385</v>
      </c>
      <c r="C458" s="24"/>
      <c r="D458" s="78"/>
      <c r="E458" s="19"/>
      <c r="F458" s="30"/>
      <c r="G458" s="186"/>
      <c r="I458" s="103"/>
      <c r="J458" s="103"/>
      <c r="K458" s="103"/>
    </row>
    <row r="459" spans="1:17" ht="38.25">
      <c r="A459" s="32"/>
      <c r="B459" s="16" t="s">
        <v>386</v>
      </c>
      <c r="C459" s="24"/>
      <c r="D459" s="78"/>
      <c r="E459" s="19"/>
      <c r="F459" s="30"/>
      <c r="G459" s="186"/>
      <c r="I459" s="103"/>
      <c r="J459" s="103"/>
      <c r="K459" s="103"/>
    </row>
    <row r="460" spans="1:17">
      <c r="A460" s="32"/>
      <c r="B460" s="232"/>
      <c r="C460" s="22"/>
      <c r="D460" s="78"/>
      <c r="E460" s="19"/>
      <c r="F460" s="30"/>
      <c r="G460" s="186"/>
      <c r="I460" s="103"/>
      <c r="J460" s="103"/>
      <c r="K460" s="103"/>
    </row>
    <row r="461" spans="1:17" ht="51">
      <c r="A461" s="32"/>
      <c r="B461" s="23" t="s">
        <v>843</v>
      </c>
      <c r="C461" s="81" t="s">
        <v>103</v>
      </c>
      <c r="D461" s="78">
        <f>2.58*(0.84*4+0.53*4+0.87*4+0.53*4+0.7*2+1.54*2+0.84*2+1.07*2+0.82*2+1.68*2+0.53*2+0.97*2+0.67*4+0.53*2+0.77*2+0.84*2+1.31*2)</f>
        <v>95.356800000000007</v>
      </c>
      <c r="E461" s="10"/>
      <c r="F461" s="160">
        <f>D461*E461</f>
        <v>0</v>
      </c>
      <c r="G461" s="193"/>
      <c r="I461" s="103"/>
      <c r="J461" s="103"/>
      <c r="K461" s="103"/>
    </row>
    <row r="462" spans="1:17">
      <c r="A462" s="32"/>
      <c r="B462" s="22"/>
      <c r="C462" s="24"/>
      <c r="D462" s="22"/>
      <c r="E462" s="10"/>
      <c r="F462" s="63"/>
      <c r="G462" s="186"/>
      <c r="I462" s="103"/>
      <c r="J462" s="103"/>
      <c r="K462" s="103"/>
    </row>
    <row r="463" spans="1:17" ht="38.25">
      <c r="A463" s="76" t="s">
        <v>189</v>
      </c>
      <c r="B463" s="80" t="s">
        <v>387</v>
      </c>
      <c r="C463" s="81"/>
      <c r="D463" s="22"/>
      <c r="E463" s="19"/>
      <c r="F463" s="63"/>
      <c r="G463" s="186"/>
      <c r="I463" s="103"/>
      <c r="J463" s="103"/>
      <c r="K463" s="103"/>
    </row>
    <row r="464" spans="1:17" ht="38.25">
      <c r="A464" s="32"/>
      <c r="B464" s="80" t="s">
        <v>388</v>
      </c>
      <c r="C464" s="24"/>
      <c r="D464" s="80"/>
      <c r="E464" s="19"/>
      <c r="F464" s="63"/>
      <c r="G464" s="186"/>
      <c r="I464" s="103"/>
      <c r="J464" s="103"/>
      <c r="K464" s="103"/>
    </row>
    <row r="465" spans="1:11" ht="25.5">
      <c r="A465" s="32"/>
      <c r="B465" s="23" t="s">
        <v>389</v>
      </c>
      <c r="C465" s="22"/>
      <c r="D465" s="22"/>
      <c r="E465" s="19"/>
      <c r="F465" s="63"/>
      <c r="G465" s="186"/>
      <c r="I465" s="103"/>
      <c r="J465" s="103"/>
      <c r="K465" s="103"/>
    </row>
    <row r="466" spans="1:11">
      <c r="A466" s="32"/>
      <c r="B466" s="23"/>
      <c r="C466" s="22"/>
      <c r="D466" s="22"/>
      <c r="E466" s="10"/>
      <c r="F466" s="63">
        <f>D466*E466</f>
        <v>0</v>
      </c>
      <c r="G466" s="186"/>
      <c r="I466" s="103"/>
      <c r="J466" s="103"/>
      <c r="K466" s="103"/>
    </row>
    <row r="467" spans="1:11" ht="38.25">
      <c r="A467" s="32"/>
      <c r="B467" s="23" t="s">
        <v>844</v>
      </c>
      <c r="C467" s="81" t="s">
        <v>32</v>
      </c>
      <c r="D467" s="310">
        <v>11</v>
      </c>
      <c r="E467" s="10"/>
      <c r="F467" s="160">
        <f>D467*E467</f>
        <v>0</v>
      </c>
      <c r="G467" s="193"/>
      <c r="I467" s="103"/>
      <c r="J467" s="103"/>
      <c r="K467" s="103"/>
    </row>
    <row r="468" spans="1:11">
      <c r="A468" s="32"/>
      <c r="B468" s="78"/>
      <c r="C468" s="13"/>
      <c r="D468" s="15"/>
      <c r="E468" s="16"/>
      <c r="F468" s="20"/>
      <c r="G468" s="186"/>
      <c r="H468" s="8"/>
      <c r="I468" s="103"/>
      <c r="J468" s="103"/>
      <c r="K468" s="103"/>
    </row>
    <row r="469" spans="1:11" s="103" customFormat="1" ht="38.25">
      <c r="A469" s="76" t="s">
        <v>190</v>
      </c>
      <c r="B469" s="16" t="s">
        <v>390</v>
      </c>
      <c r="C469" s="41"/>
      <c r="D469" s="136"/>
      <c r="E469" s="22"/>
      <c r="F469" s="63"/>
      <c r="G469" s="186"/>
    </row>
    <row r="470" spans="1:11" s="103" customFormat="1" ht="63.75">
      <c r="A470" s="32"/>
      <c r="B470" s="16" t="s">
        <v>1144</v>
      </c>
      <c r="C470" s="41"/>
      <c r="D470" s="136"/>
      <c r="E470" s="22"/>
      <c r="F470" s="63"/>
      <c r="G470" s="186"/>
    </row>
    <row r="471" spans="1:11" s="103" customFormat="1" ht="26.25" customHeight="1">
      <c r="A471" s="198"/>
      <c r="B471" s="207" t="s">
        <v>1145</v>
      </c>
      <c r="C471" s="205"/>
      <c r="D471" s="206"/>
      <c r="E471" s="207"/>
      <c r="F471" s="199">
        <f>E471*D471</f>
        <v>0</v>
      </c>
      <c r="G471" s="186"/>
      <c r="H471" s="8"/>
    </row>
    <row r="472" spans="1:11" s="103" customFormat="1" ht="14.25" customHeight="1">
      <c r="A472" s="32"/>
      <c r="B472" s="16"/>
      <c r="C472" s="41"/>
      <c r="D472" s="136"/>
      <c r="E472" s="16"/>
      <c r="F472" s="20"/>
      <c r="G472" s="186"/>
      <c r="H472" s="8"/>
    </row>
    <row r="473" spans="1:11">
      <c r="A473" s="79" t="s">
        <v>191</v>
      </c>
      <c r="B473" s="111" t="s">
        <v>391</v>
      </c>
      <c r="C473" s="81"/>
      <c r="D473" s="26"/>
      <c r="E473" s="19"/>
      <c r="F473" s="31"/>
      <c r="G473" s="186"/>
      <c r="H473" s="132"/>
      <c r="I473" s="103"/>
      <c r="J473" s="103"/>
      <c r="K473" s="103"/>
    </row>
    <row r="474" spans="1:11">
      <c r="A474" s="79"/>
      <c r="B474" s="80" t="s">
        <v>392</v>
      </c>
      <c r="C474" s="41"/>
      <c r="D474" s="136"/>
      <c r="E474" s="16"/>
      <c r="F474" s="20"/>
      <c r="G474" s="186"/>
      <c r="H474" s="132"/>
      <c r="I474" s="103"/>
      <c r="J474" s="103"/>
      <c r="K474" s="103"/>
    </row>
    <row r="475" spans="1:11">
      <c r="A475" s="79"/>
      <c r="B475" s="80"/>
      <c r="C475" s="41"/>
      <c r="D475" s="136"/>
      <c r="E475" s="16"/>
      <c r="F475" s="20"/>
      <c r="G475" s="186"/>
      <c r="H475" s="132"/>
      <c r="I475" s="103"/>
      <c r="J475" s="103"/>
      <c r="K475" s="103"/>
    </row>
    <row r="476" spans="1:11">
      <c r="A476" s="79"/>
      <c r="B476" s="22" t="s">
        <v>360</v>
      </c>
      <c r="C476" s="81"/>
      <c r="D476" s="26">
        <f>37.34-7.04</f>
        <v>30.300000000000004</v>
      </c>
      <c r="E476" s="19"/>
      <c r="F476" s="31"/>
      <c r="G476" s="186"/>
      <c r="H476" s="132"/>
      <c r="I476" s="103"/>
      <c r="J476" s="103"/>
      <c r="K476" s="103"/>
    </row>
    <row r="477" spans="1:11">
      <c r="A477" s="79"/>
      <c r="B477" s="22"/>
      <c r="C477" s="81"/>
      <c r="D477" s="26"/>
      <c r="E477" s="19"/>
      <c r="F477" s="31"/>
      <c r="G477" s="186"/>
      <c r="H477" s="132"/>
      <c r="I477" s="103"/>
      <c r="J477" s="103"/>
      <c r="K477" s="103"/>
    </row>
    <row r="478" spans="1:11">
      <c r="A478" s="79"/>
      <c r="B478" s="22" t="s">
        <v>361</v>
      </c>
      <c r="C478" s="81"/>
      <c r="D478" s="26"/>
      <c r="E478" s="19"/>
      <c r="F478" s="31"/>
      <c r="G478" s="186"/>
      <c r="H478" s="132"/>
      <c r="I478" s="103"/>
      <c r="J478" s="103"/>
      <c r="K478" s="103"/>
    </row>
    <row r="479" spans="1:11">
      <c r="A479" s="107"/>
      <c r="B479" s="140" t="s">
        <v>846</v>
      </c>
      <c r="C479" s="41"/>
      <c r="D479" s="140">
        <f>37.34*3</f>
        <v>112.02000000000001</v>
      </c>
      <c r="E479" s="16"/>
      <c r="F479" s="20"/>
      <c r="G479" s="186"/>
      <c r="H479" s="8"/>
      <c r="I479" s="103"/>
      <c r="J479" s="103"/>
      <c r="K479" s="103"/>
    </row>
    <row r="480" spans="1:11">
      <c r="A480" s="107"/>
      <c r="B480" s="82"/>
      <c r="C480" s="41"/>
      <c r="D480" s="139"/>
      <c r="E480" s="10"/>
      <c r="F480" s="31"/>
      <c r="G480" s="186"/>
      <c r="H480" s="9"/>
      <c r="I480" s="103"/>
      <c r="J480" s="103"/>
      <c r="K480" s="103"/>
    </row>
    <row r="481" spans="1:11">
      <c r="A481" s="108"/>
      <c r="B481" s="82" t="s">
        <v>192</v>
      </c>
      <c r="C481" s="41" t="s">
        <v>38</v>
      </c>
      <c r="D481" s="136">
        <f>SUM(D476:D480)</f>
        <v>142.32000000000002</v>
      </c>
      <c r="E481" s="16"/>
      <c r="F481" s="20">
        <f>E481*D481</f>
        <v>0</v>
      </c>
      <c r="G481" s="193"/>
      <c r="H481" s="8"/>
      <c r="I481" s="103"/>
      <c r="J481" s="103"/>
      <c r="K481" s="103"/>
    </row>
    <row r="482" spans="1:11">
      <c r="A482" s="32"/>
      <c r="B482" s="22"/>
      <c r="C482" s="24"/>
      <c r="D482" s="78"/>
      <c r="E482" s="27"/>
      <c r="F482" s="30"/>
      <c r="G482" s="186"/>
      <c r="H482" s="124"/>
      <c r="I482" s="103"/>
      <c r="J482" s="103"/>
      <c r="K482" s="103"/>
    </row>
    <row r="483" spans="1:11">
      <c r="A483" s="79" t="s">
        <v>226</v>
      </c>
      <c r="B483" s="111" t="s">
        <v>393</v>
      </c>
      <c r="C483" s="13"/>
      <c r="D483" s="78"/>
      <c r="E483" s="16"/>
      <c r="F483" s="30"/>
      <c r="G483" s="186"/>
      <c r="H483" s="8"/>
      <c r="I483" s="103"/>
      <c r="J483" s="103"/>
      <c r="K483" s="103"/>
    </row>
    <row r="484" spans="1:11">
      <c r="A484" s="108"/>
      <c r="B484" s="80" t="s">
        <v>845</v>
      </c>
      <c r="C484" s="13"/>
      <c r="D484" s="78"/>
      <c r="E484" s="16"/>
      <c r="F484" s="30">
        <f>D484*E484</f>
        <v>0</v>
      </c>
      <c r="G484" s="186"/>
      <c r="H484" s="8"/>
      <c r="I484" s="103"/>
      <c r="J484" s="103"/>
      <c r="K484" s="103"/>
    </row>
    <row r="485" spans="1:11">
      <c r="A485" s="32"/>
      <c r="B485" s="23"/>
      <c r="C485" s="81"/>
      <c r="D485" s="26"/>
      <c r="E485" s="19"/>
      <c r="F485" s="31"/>
      <c r="G485" s="186"/>
      <c r="H485" s="132"/>
      <c r="I485" s="103"/>
      <c r="J485" s="103"/>
      <c r="K485" s="103"/>
    </row>
    <row r="486" spans="1:11">
      <c r="A486" s="32"/>
      <c r="B486" s="22" t="s">
        <v>360</v>
      </c>
      <c r="C486" s="13" t="s">
        <v>38</v>
      </c>
      <c r="D486" s="78">
        <v>7.04</v>
      </c>
      <c r="E486" s="16"/>
      <c r="F486" s="30">
        <f>D486*E486</f>
        <v>0</v>
      </c>
      <c r="G486" s="193"/>
      <c r="H486" s="132"/>
      <c r="I486" s="103"/>
      <c r="J486" s="103"/>
      <c r="K486" s="103"/>
    </row>
    <row r="487" spans="1:11">
      <c r="A487" s="32"/>
      <c r="B487" s="89"/>
      <c r="C487" s="81"/>
      <c r="D487" s="26"/>
      <c r="E487" s="19"/>
      <c r="F487" s="31"/>
      <c r="G487" s="186"/>
      <c r="H487" s="132"/>
      <c r="I487" s="103"/>
      <c r="J487" s="103"/>
      <c r="K487" s="103"/>
    </row>
    <row r="488" spans="1:11">
      <c r="A488" s="79" t="s">
        <v>394</v>
      </c>
      <c r="B488" s="111" t="s">
        <v>395</v>
      </c>
      <c r="C488" s="81"/>
      <c r="D488" s="26"/>
      <c r="E488" s="19"/>
      <c r="F488" s="31"/>
      <c r="G488" s="186"/>
      <c r="H488" s="132"/>
      <c r="I488" s="103"/>
      <c r="J488" s="103"/>
      <c r="K488" s="103"/>
    </row>
    <row r="489" spans="1:11">
      <c r="A489" s="79"/>
      <c r="B489" s="80" t="s">
        <v>396</v>
      </c>
      <c r="C489" s="81"/>
      <c r="D489" s="26"/>
      <c r="E489" s="19"/>
      <c r="F489" s="31"/>
      <c r="G489" s="186"/>
      <c r="H489" s="132"/>
      <c r="I489" s="103"/>
      <c r="J489" s="103"/>
      <c r="K489" s="103"/>
    </row>
    <row r="490" spans="1:11">
      <c r="A490" s="32"/>
      <c r="B490" s="89"/>
      <c r="C490" s="81"/>
      <c r="D490" s="26"/>
      <c r="E490" s="19"/>
      <c r="F490" s="31"/>
      <c r="G490" s="186"/>
      <c r="H490" s="132"/>
      <c r="I490" s="103"/>
      <c r="J490" s="103"/>
      <c r="K490" s="103"/>
    </row>
    <row r="491" spans="1:11">
      <c r="A491" s="32"/>
      <c r="B491" s="22" t="s">
        <v>27</v>
      </c>
      <c r="C491" s="41"/>
      <c r="D491" s="136"/>
      <c r="E491" s="16"/>
      <c r="F491" s="20"/>
      <c r="G491" s="186"/>
      <c r="H491" s="132"/>
      <c r="I491" s="103"/>
      <c r="J491" s="103"/>
      <c r="K491" s="103"/>
    </row>
    <row r="492" spans="1:11">
      <c r="A492" s="32"/>
      <c r="B492" s="23" t="s">
        <v>847</v>
      </c>
      <c r="C492" s="41"/>
      <c r="D492" s="23">
        <f>3.78*4+4.45</f>
        <v>19.57</v>
      </c>
      <c r="E492" s="16"/>
      <c r="F492" s="20"/>
      <c r="G492" s="186"/>
      <c r="H492" s="132"/>
      <c r="I492" s="103"/>
      <c r="J492" s="103"/>
      <c r="K492" s="103"/>
    </row>
    <row r="493" spans="1:11">
      <c r="A493" s="32"/>
      <c r="B493" s="22"/>
      <c r="C493" s="41"/>
      <c r="D493" s="136"/>
      <c r="E493" s="16"/>
      <c r="F493" s="20"/>
      <c r="G493" s="186"/>
      <c r="H493" s="132"/>
      <c r="I493" s="103"/>
      <c r="J493" s="103"/>
      <c r="K493" s="103"/>
    </row>
    <row r="494" spans="1:11">
      <c r="A494" s="32"/>
      <c r="B494" s="22" t="s">
        <v>360</v>
      </c>
      <c r="C494" s="81"/>
      <c r="D494" s="26"/>
      <c r="E494" s="19"/>
      <c r="F494" s="31"/>
      <c r="G494" s="186"/>
      <c r="H494" s="132"/>
      <c r="I494" s="103"/>
      <c r="J494" s="103"/>
      <c r="K494" s="103"/>
    </row>
    <row r="495" spans="1:11">
      <c r="A495" s="32"/>
      <c r="B495" s="23" t="s">
        <v>848</v>
      </c>
      <c r="C495" s="41"/>
      <c r="D495" s="23">
        <f>4.68+3.78*4+4.45+3.37</f>
        <v>27.619999999999997</v>
      </c>
      <c r="E495" s="19"/>
      <c r="F495" s="31"/>
      <c r="G495" s="186"/>
      <c r="H495" s="132"/>
      <c r="I495" s="103"/>
      <c r="J495" s="103"/>
      <c r="K495" s="103"/>
    </row>
    <row r="496" spans="1:11">
      <c r="A496" s="32"/>
      <c r="B496" s="22"/>
      <c r="C496" s="81"/>
      <c r="D496" s="26"/>
      <c r="E496" s="19"/>
      <c r="F496" s="31"/>
      <c r="G496" s="186"/>
      <c r="H496" s="132"/>
      <c r="I496" s="103"/>
      <c r="J496" s="103"/>
      <c r="K496" s="103"/>
    </row>
    <row r="497" spans="1:11">
      <c r="A497" s="32"/>
      <c r="B497" s="22" t="s">
        <v>361</v>
      </c>
      <c r="C497" s="81"/>
      <c r="D497" s="26"/>
      <c r="E497" s="19"/>
      <c r="F497" s="31"/>
      <c r="G497" s="186"/>
      <c r="H497" s="132"/>
      <c r="I497" s="103"/>
      <c r="J497" s="103"/>
      <c r="K497" s="103"/>
    </row>
    <row r="498" spans="1:11">
      <c r="A498" s="32"/>
      <c r="B498" s="23" t="s">
        <v>849</v>
      </c>
      <c r="C498" s="41"/>
      <c r="D498" s="140">
        <f>4.68*3+3.78*4*3+4.45*3+3.37*3</f>
        <v>82.86</v>
      </c>
      <c r="E498" s="16"/>
      <c r="F498" s="20"/>
      <c r="G498" s="186"/>
      <c r="H498" s="132"/>
      <c r="I498" s="103"/>
      <c r="J498" s="103"/>
      <c r="K498" s="103"/>
    </row>
    <row r="499" spans="1:11">
      <c r="A499" s="32"/>
      <c r="B499" s="82"/>
      <c r="C499" s="41"/>
      <c r="D499" s="139"/>
      <c r="E499" s="10"/>
      <c r="F499" s="31"/>
      <c r="G499" s="186"/>
      <c r="H499" s="132"/>
      <c r="I499" s="103"/>
      <c r="J499" s="103"/>
      <c r="K499" s="103"/>
    </row>
    <row r="500" spans="1:11">
      <c r="A500" s="32"/>
      <c r="B500" s="82" t="s">
        <v>192</v>
      </c>
      <c r="C500" s="41" t="s">
        <v>38</v>
      </c>
      <c r="D500" s="136">
        <f>SUM(D492:D499)</f>
        <v>130.05000000000001</v>
      </c>
      <c r="E500" s="16"/>
      <c r="F500" s="20">
        <f>E500*D500</f>
        <v>0</v>
      </c>
      <c r="G500" s="193"/>
      <c r="H500" s="132"/>
      <c r="I500" s="103"/>
      <c r="J500" s="103"/>
      <c r="K500" s="103"/>
    </row>
    <row r="501" spans="1:11">
      <c r="A501" s="32"/>
      <c r="B501" s="305"/>
      <c r="C501" s="41"/>
      <c r="D501" s="136"/>
      <c r="E501" s="16"/>
      <c r="F501" s="20"/>
      <c r="G501" s="193"/>
      <c r="H501" s="132"/>
      <c r="I501" s="103"/>
      <c r="J501" s="103"/>
      <c r="K501" s="103"/>
    </row>
    <row r="502" spans="1:11">
      <c r="A502" s="79" t="s">
        <v>955</v>
      </c>
      <c r="B502" s="111" t="s">
        <v>956</v>
      </c>
      <c r="C502" s="41"/>
      <c r="D502" s="136"/>
      <c r="E502" s="16"/>
      <c r="F502" s="20"/>
      <c r="G502" s="193"/>
      <c r="H502" s="132"/>
      <c r="I502" s="103"/>
      <c r="J502" s="103"/>
      <c r="K502" s="103"/>
    </row>
    <row r="503" spans="1:11">
      <c r="A503" s="108"/>
      <c r="B503" s="80" t="s">
        <v>957</v>
      </c>
      <c r="C503" s="41" t="s">
        <v>38</v>
      </c>
      <c r="D503" s="136">
        <v>2.88</v>
      </c>
      <c r="E503" s="16"/>
      <c r="F503" s="20">
        <f>E503*D503</f>
        <v>0</v>
      </c>
      <c r="G503" s="193"/>
      <c r="H503" s="132"/>
      <c r="I503" s="103"/>
      <c r="J503" s="103"/>
      <c r="K503" s="103"/>
    </row>
    <row r="504" spans="1:11">
      <c r="A504" s="32"/>
      <c r="B504" s="89"/>
      <c r="C504" s="81"/>
      <c r="D504" s="26"/>
      <c r="E504" s="19"/>
      <c r="F504" s="31"/>
      <c r="G504" s="186"/>
      <c r="H504" s="132"/>
      <c r="I504" s="103"/>
      <c r="J504" s="103"/>
      <c r="K504" s="103"/>
    </row>
    <row r="505" spans="1:11" ht="38.25">
      <c r="A505" s="76" t="s">
        <v>227</v>
      </c>
      <c r="B505" s="389" t="s">
        <v>1164</v>
      </c>
      <c r="C505" s="81"/>
      <c r="D505" s="26"/>
      <c r="E505" s="19"/>
      <c r="F505" s="31"/>
      <c r="G505" s="186"/>
      <c r="H505" s="132"/>
      <c r="I505" s="103"/>
      <c r="J505" s="103"/>
      <c r="K505" s="103"/>
    </row>
    <row r="506" spans="1:11" ht="25.5">
      <c r="A506" s="76"/>
      <c r="B506" s="226" t="s">
        <v>1165</v>
      </c>
      <c r="C506" s="81"/>
      <c r="D506" s="26"/>
      <c r="E506" s="19"/>
      <c r="F506" s="31"/>
      <c r="G506" s="186"/>
      <c r="H506" s="132"/>
      <c r="I506" s="103"/>
      <c r="J506" s="103"/>
      <c r="K506" s="103"/>
    </row>
    <row r="507" spans="1:11" s="103" customFormat="1" ht="38.25">
      <c r="A507" s="76"/>
      <c r="B507" s="226" t="s">
        <v>1166</v>
      </c>
      <c r="C507" s="81"/>
      <c r="D507" s="26"/>
      <c r="E507" s="19"/>
      <c r="F507" s="31"/>
      <c r="G507" s="186"/>
      <c r="H507" s="132"/>
    </row>
    <row r="508" spans="1:11" ht="25.5">
      <c r="A508" s="76"/>
      <c r="B508" s="103" t="s">
        <v>350</v>
      </c>
      <c r="C508" s="81"/>
      <c r="D508" s="26"/>
      <c r="E508" s="19"/>
      <c r="F508" s="31"/>
      <c r="G508" s="186"/>
      <c r="H508" s="132"/>
      <c r="I508" s="103"/>
      <c r="J508" s="103"/>
      <c r="K508" s="103"/>
    </row>
    <row r="509" spans="1:11" ht="25.5">
      <c r="A509" s="76"/>
      <c r="B509" s="226" t="s">
        <v>242</v>
      </c>
      <c r="C509" s="81"/>
      <c r="D509" s="26"/>
      <c r="E509" s="19"/>
      <c r="F509" s="31"/>
      <c r="G509" s="186"/>
      <c r="H509" s="132"/>
      <c r="I509" s="103"/>
      <c r="J509" s="103"/>
      <c r="K509" s="103"/>
    </row>
    <row r="510" spans="1:11" ht="25.5">
      <c r="A510" s="76"/>
      <c r="B510" s="226" t="s">
        <v>397</v>
      </c>
      <c r="C510" s="81"/>
      <c r="D510" s="26"/>
      <c r="E510" s="19"/>
      <c r="F510" s="31"/>
      <c r="G510" s="186"/>
      <c r="H510" s="132"/>
      <c r="I510" s="103"/>
      <c r="J510" s="103"/>
      <c r="K510" s="103"/>
    </row>
    <row r="511" spans="1:11" ht="51">
      <c r="A511" s="204"/>
      <c r="B511" s="390" t="s">
        <v>1167</v>
      </c>
      <c r="C511" s="208"/>
      <c r="D511" s="209"/>
      <c r="E511" s="210"/>
      <c r="F511" s="211"/>
      <c r="G511" s="186"/>
      <c r="H511" s="132"/>
      <c r="I511" s="103"/>
      <c r="J511" s="103"/>
      <c r="K511" s="103"/>
    </row>
    <row r="512" spans="1:11">
      <c r="A512" s="76"/>
      <c r="B512" s="7"/>
      <c r="C512" s="81"/>
      <c r="D512" s="26"/>
      <c r="E512" s="19"/>
      <c r="F512" s="31"/>
      <c r="G512" s="186"/>
      <c r="H512" s="132"/>
      <c r="I512" s="103"/>
      <c r="J512" s="103"/>
      <c r="K512" s="103"/>
    </row>
    <row r="513" spans="1:13" ht="25.5">
      <c r="A513" s="32"/>
      <c r="B513" s="232" t="s">
        <v>398</v>
      </c>
      <c r="C513" s="81"/>
      <c r="D513" s="26"/>
      <c r="E513" s="19"/>
      <c r="F513" s="31"/>
      <c r="G513" s="186"/>
      <c r="H513" s="132"/>
      <c r="I513" s="103"/>
      <c r="J513" s="103"/>
      <c r="K513" s="103"/>
    </row>
    <row r="514" spans="1:13" s="103" customFormat="1" ht="38.25">
      <c r="A514" s="32"/>
      <c r="B514" s="22" t="s">
        <v>1168</v>
      </c>
      <c r="C514" s="81"/>
      <c r="D514" s="26"/>
      <c r="E514" s="19"/>
      <c r="F514" s="31"/>
      <c r="G514" s="186"/>
      <c r="H514" s="132"/>
    </row>
    <row r="515" spans="1:13" s="103" customFormat="1">
      <c r="A515" s="32"/>
      <c r="B515" s="22"/>
      <c r="C515" s="81"/>
      <c r="D515" s="26"/>
      <c r="E515" s="19"/>
      <c r="F515" s="31"/>
      <c r="G515" s="186"/>
      <c r="H515" s="132"/>
    </row>
    <row r="516" spans="1:13">
      <c r="A516" s="79" t="s">
        <v>228</v>
      </c>
      <c r="B516" s="12" t="s">
        <v>391</v>
      </c>
      <c r="C516" s="81"/>
      <c r="D516" s="26"/>
      <c r="E516" s="19"/>
      <c r="F516" s="31"/>
      <c r="G516" s="404"/>
      <c r="H516" s="132"/>
      <c r="I516" s="361"/>
      <c r="J516" s="125"/>
      <c r="K516" s="127"/>
      <c r="L516" s="392"/>
      <c r="M516" s="31"/>
    </row>
    <row r="517" spans="1:13" ht="25.5">
      <c r="A517" s="32"/>
      <c r="B517" s="22" t="s">
        <v>850</v>
      </c>
      <c r="C517" s="13"/>
      <c r="D517" s="15"/>
      <c r="E517" s="14"/>
      <c r="F517" s="31"/>
      <c r="G517" s="404"/>
      <c r="H517" s="138"/>
      <c r="I517" s="361"/>
      <c r="J517" s="125"/>
      <c r="K517" s="127"/>
      <c r="L517" s="392"/>
      <c r="M517" s="31"/>
    </row>
    <row r="518" spans="1:13">
      <c r="A518" s="32"/>
      <c r="B518" s="22"/>
      <c r="C518" s="13"/>
      <c r="D518" s="15"/>
      <c r="E518" s="14"/>
      <c r="F518" s="31"/>
      <c r="G518" s="404"/>
      <c r="H518" s="138"/>
      <c r="I518" s="361"/>
      <c r="J518" s="125"/>
      <c r="K518" s="127"/>
      <c r="L518" s="392"/>
      <c r="M518" s="31"/>
    </row>
    <row r="519" spans="1:13">
      <c r="A519" s="32"/>
      <c r="B519" s="22" t="s">
        <v>27</v>
      </c>
      <c r="C519" s="22"/>
      <c r="D519" s="80"/>
      <c r="E519" s="22"/>
      <c r="F519" s="30"/>
      <c r="G519" s="186"/>
      <c r="I519" s="164"/>
      <c r="J519" s="103"/>
      <c r="K519" s="164"/>
      <c r="L519" s="311"/>
      <c r="M519" s="30"/>
    </row>
    <row r="520" spans="1:13">
      <c r="A520" s="32"/>
      <c r="B520" s="23"/>
      <c r="C520" s="22"/>
      <c r="D520" s="80"/>
      <c r="E520" s="22"/>
      <c r="F520" s="30"/>
      <c r="G520" s="186"/>
      <c r="I520" s="164"/>
      <c r="J520" s="103"/>
      <c r="K520" s="164"/>
      <c r="L520" s="311"/>
      <c r="M520" s="30"/>
    </row>
    <row r="521" spans="1:13">
      <c r="A521" s="32"/>
      <c r="B521" s="22" t="s">
        <v>360</v>
      </c>
      <c r="C521" s="22"/>
      <c r="D521" s="22"/>
      <c r="E521" s="22"/>
      <c r="F521" s="30"/>
      <c r="G521" s="186"/>
      <c r="I521" s="405"/>
      <c r="J521" s="103"/>
      <c r="K521" s="103"/>
      <c r="L521" s="311"/>
      <c r="M521" s="30"/>
    </row>
    <row r="522" spans="1:13" ht="25.5">
      <c r="A522" s="32"/>
      <c r="B522" s="23" t="s">
        <v>851</v>
      </c>
      <c r="C522" s="22"/>
      <c r="D522" s="78">
        <f>5.58+4.2+4.14+4.18+4.26+5.39+4.4+4.53+12.45</f>
        <v>49.129999999999995</v>
      </c>
      <c r="E522" s="22"/>
      <c r="F522" s="30"/>
      <c r="G522" s="186"/>
      <c r="I522" s="89"/>
      <c r="J522" s="103"/>
      <c r="K522" s="89"/>
      <c r="L522" s="311"/>
      <c r="M522" s="30"/>
    </row>
    <row r="523" spans="1:13" s="103" customFormat="1">
      <c r="A523" s="32"/>
      <c r="B523" s="22"/>
      <c r="C523" s="22"/>
      <c r="D523" s="78"/>
      <c r="E523" s="22"/>
      <c r="F523" s="30"/>
      <c r="G523" s="186"/>
      <c r="I523" s="89"/>
      <c r="K523" s="105"/>
      <c r="L523" s="311"/>
      <c r="M523" s="30"/>
    </row>
    <row r="524" spans="1:13">
      <c r="A524" s="32"/>
      <c r="B524" s="22" t="s">
        <v>361</v>
      </c>
      <c r="C524" s="22"/>
      <c r="D524" s="78"/>
      <c r="E524" s="22"/>
      <c r="F524" s="30"/>
      <c r="G524" s="186"/>
      <c r="I524" s="103"/>
      <c r="J524" s="110"/>
      <c r="K524" s="105"/>
      <c r="L524" s="393"/>
      <c r="M524" s="30"/>
    </row>
    <row r="525" spans="1:13">
      <c r="A525" s="32"/>
      <c r="B525" s="23" t="s">
        <v>852</v>
      </c>
      <c r="C525" s="22"/>
      <c r="D525" s="78">
        <f>(5.58+4.2+4.14+4.18+4.26+5.39+4.4)*3</f>
        <v>96.449999999999989</v>
      </c>
      <c r="E525" s="22"/>
      <c r="F525" s="30"/>
      <c r="G525" s="186"/>
      <c r="I525" s="103"/>
      <c r="J525" s="103"/>
      <c r="K525" s="103"/>
    </row>
    <row r="526" spans="1:13">
      <c r="A526" s="32"/>
      <c r="B526" s="23"/>
      <c r="C526" s="22"/>
      <c r="D526" s="78"/>
      <c r="E526" s="22"/>
      <c r="F526" s="30"/>
      <c r="G526" s="186"/>
      <c r="I526" s="103"/>
      <c r="J526" s="103"/>
      <c r="K526" s="103"/>
    </row>
    <row r="527" spans="1:13">
      <c r="A527" s="32"/>
      <c r="B527" s="22" t="s">
        <v>229</v>
      </c>
      <c r="C527" s="13" t="s">
        <v>38</v>
      </c>
      <c r="D527" s="78">
        <f>SUM(D519:D526)</f>
        <v>145.57999999999998</v>
      </c>
      <c r="E527" s="16"/>
      <c r="F527" s="30">
        <f>D527*E527</f>
        <v>0</v>
      </c>
      <c r="G527" s="193"/>
      <c r="H527" s="8"/>
      <c r="I527" s="103"/>
      <c r="J527" s="103"/>
      <c r="K527" s="103"/>
    </row>
    <row r="528" spans="1:13">
      <c r="A528" s="32"/>
      <c r="B528" s="23"/>
      <c r="C528" s="81"/>
      <c r="D528" s="26"/>
      <c r="E528" s="19"/>
      <c r="F528" s="31"/>
      <c r="G528" s="186"/>
      <c r="H528" s="132"/>
      <c r="I528" s="103"/>
      <c r="J528" s="103"/>
      <c r="K528" s="103"/>
    </row>
    <row r="529" spans="1:12">
      <c r="A529" s="79" t="s">
        <v>230</v>
      </c>
      <c r="B529" s="12" t="s">
        <v>1170</v>
      </c>
      <c r="C529" s="81"/>
      <c r="D529" s="26"/>
      <c r="E529" s="19"/>
      <c r="F529" s="31"/>
      <c r="G529" s="186"/>
      <c r="H529" s="132"/>
      <c r="I529" s="103"/>
      <c r="J529" s="103"/>
      <c r="K529" s="103"/>
    </row>
    <row r="530" spans="1:12" ht="25.5">
      <c r="A530" s="32"/>
      <c r="B530" s="22" t="s">
        <v>853</v>
      </c>
      <c r="C530" s="81"/>
      <c r="D530" s="26"/>
      <c r="E530" s="19"/>
      <c r="F530" s="31"/>
      <c r="G530" s="186"/>
      <c r="H530" s="132"/>
      <c r="I530" s="103"/>
      <c r="J530" s="103"/>
      <c r="K530" s="103"/>
    </row>
    <row r="531" spans="1:12">
      <c r="A531" s="32"/>
      <c r="B531" s="12"/>
      <c r="C531" s="81"/>
      <c r="D531" s="26"/>
      <c r="E531" s="19"/>
      <c r="F531" s="31"/>
      <c r="G531" s="186"/>
      <c r="H531" s="132"/>
      <c r="I531" s="103"/>
      <c r="J531" s="103"/>
      <c r="K531" s="103"/>
    </row>
    <row r="532" spans="1:12">
      <c r="A532" s="32"/>
      <c r="B532" s="22" t="s">
        <v>27</v>
      </c>
      <c r="C532" s="22"/>
      <c r="D532" s="22"/>
      <c r="E532" s="22"/>
      <c r="F532" s="30"/>
      <c r="G532" s="186"/>
      <c r="I532" s="103"/>
      <c r="J532" s="103"/>
      <c r="K532" s="103"/>
    </row>
    <row r="533" spans="1:12" ht="51">
      <c r="A533" s="32"/>
      <c r="B533" s="23" t="s">
        <v>854</v>
      </c>
      <c r="C533" s="22"/>
      <c r="D533" s="80">
        <f>4.98+24.39+11.61+11.32+1.24+6.46+24.15+9.17+12.78+12.79+12.2+3.22+1.37+20.41+7.54+0.96+21.24+5.87+23.48+11.56+11.04+1.24+3.17+23.11</f>
        <v>265.3</v>
      </c>
      <c r="E533" s="22"/>
      <c r="F533" s="30"/>
      <c r="G533" s="186"/>
      <c r="I533" s="103"/>
      <c r="J533" s="103"/>
      <c r="K533" s="103"/>
    </row>
    <row r="534" spans="1:12">
      <c r="A534" s="32"/>
      <c r="B534" s="22"/>
      <c r="C534" s="22"/>
      <c r="D534" s="22"/>
      <c r="E534" s="22"/>
      <c r="F534" s="30"/>
      <c r="G534" s="186"/>
      <c r="I534" s="103"/>
      <c r="J534" s="103"/>
      <c r="K534" s="103"/>
    </row>
    <row r="535" spans="1:12">
      <c r="A535" s="32"/>
      <c r="B535" s="22" t="s">
        <v>360</v>
      </c>
      <c r="C535" s="22"/>
      <c r="D535" s="22"/>
      <c r="E535" s="22"/>
      <c r="F535" s="30"/>
      <c r="G535" s="186"/>
      <c r="I535" s="103"/>
      <c r="J535" s="103"/>
      <c r="K535" s="103"/>
    </row>
    <row r="536" spans="1:12" ht="51">
      <c r="A536" s="32"/>
      <c r="B536" s="23" t="s">
        <v>855</v>
      </c>
      <c r="C536" s="22"/>
      <c r="D536" s="78">
        <f>4.98+24.39+11.61+11.32+1.27+20.46+5.13+20.56+10.97+1.37+20.41+7.54+0.96+21.24+5.87+23.48+11.56+11.4+1.24+3.17+23.11</f>
        <v>242.04000000000002</v>
      </c>
      <c r="E536" s="22"/>
      <c r="F536" s="30"/>
      <c r="G536" s="186"/>
      <c r="I536" s="103"/>
      <c r="J536" s="103"/>
      <c r="K536" s="103"/>
    </row>
    <row r="537" spans="1:12" s="103" customFormat="1">
      <c r="A537" s="32"/>
      <c r="B537" s="22"/>
      <c r="C537" s="22"/>
      <c r="D537" s="78"/>
      <c r="E537" s="22"/>
      <c r="F537" s="30"/>
      <c r="G537" s="186"/>
    </row>
    <row r="538" spans="1:12">
      <c r="A538" s="32"/>
      <c r="B538" s="22" t="s">
        <v>361</v>
      </c>
      <c r="C538" s="22"/>
      <c r="D538" s="80"/>
      <c r="E538" s="22"/>
      <c r="F538" s="30"/>
      <c r="G538" s="186"/>
      <c r="I538" s="103"/>
      <c r="J538" s="103"/>
      <c r="K538" s="103"/>
    </row>
    <row r="539" spans="1:12" ht="51">
      <c r="A539" s="32"/>
      <c r="B539" s="23" t="s">
        <v>856</v>
      </c>
      <c r="C539" s="22"/>
      <c r="D539" s="78">
        <f>(4.98+24.39+11.61+11.32+1.27+4.53+20.46+12.45+5.13+20.56+10.97+1.37+20.41+7.54+0.96+21.24+5.87+23.48+11.56+11.4+1.24+3.17+23.11)*3</f>
        <v>777.06</v>
      </c>
      <c r="E539" s="22"/>
      <c r="F539" s="30"/>
      <c r="G539" s="186"/>
      <c r="I539" s="103"/>
      <c r="J539" s="103"/>
      <c r="K539" s="103"/>
    </row>
    <row r="540" spans="1:12">
      <c r="A540" s="32"/>
      <c r="B540" s="23"/>
      <c r="C540" s="22"/>
      <c r="D540" s="78"/>
      <c r="E540" s="22"/>
      <c r="F540" s="30"/>
      <c r="G540" s="186"/>
      <c r="I540" s="103"/>
      <c r="J540" s="103"/>
      <c r="K540" s="103"/>
    </row>
    <row r="541" spans="1:12">
      <c r="A541" s="32"/>
      <c r="B541" s="22" t="s">
        <v>231</v>
      </c>
      <c r="C541" s="13" t="s">
        <v>38</v>
      </c>
      <c r="D541" s="78">
        <f>SUM(D533:D540)</f>
        <v>1284.4000000000001</v>
      </c>
      <c r="E541" s="16"/>
      <c r="F541" s="30">
        <f>D541*E541</f>
        <v>0</v>
      </c>
      <c r="G541" s="193"/>
      <c r="H541" s="8"/>
      <c r="I541" s="103"/>
      <c r="J541" s="103"/>
      <c r="K541" s="103"/>
    </row>
    <row r="542" spans="1:12">
      <c r="A542" s="32"/>
      <c r="B542" s="22"/>
      <c r="C542" s="24"/>
      <c r="D542" s="78"/>
      <c r="E542" s="27"/>
      <c r="F542" s="30"/>
      <c r="G542" s="186"/>
      <c r="H542" s="124"/>
      <c r="I542" s="103"/>
      <c r="J542" s="103"/>
      <c r="K542" s="103"/>
    </row>
    <row r="543" spans="1:12">
      <c r="A543" s="79" t="s">
        <v>232</v>
      </c>
      <c r="B543" s="312" t="s">
        <v>1169</v>
      </c>
      <c r="C543" s="81"/>
      <c r="D543" s="26"/>
      <c r="E543" s="19"/>
      <c r="F543" s="31"/>
      <c r="G543" s="186"/>
      <c r="H543" s="132"/>
      <c r="I543" s="103"/>
      <c r="J543" s="103"/>
      <c r="K543" s="103"/>
    </row>
    <row r="544" spans="1:12">
      <c r="A544" s="32"/>
      <c r="B544" s="22" t="s">
        <v>399</v>
      </c>
      <c r="C544" s="22"/>
      <c r="D544" s="22"/>
      <c r="E544" s="22"/>
      <c r="F544" s="30"/>
      <c r="G544" s="186"/>
      <c r="I544" s="103"/>
      <c r="J544" s="103"/>
      <c r="K544" s="103"/>
      <c r="L544" s="6">
        <f>1.49*6.58</f>
        <v>9.8041999999999998</v>
      </c>
    </row>
    <row r="545" spans="1:11">
      <c r="A545" s="32"/>
      <c r="B545" s="23"/>
      <c r="C545" s="22"/>
      <c r="D545" s="134"/>
      <c r="E545" s="22"/>
      <c r="F545" s="30"/>
      <c r="G545" s="186"/>
      <c r="I545" s="103"/>
      <c r="J545" s="103"/>
      <c r="K545" s="103"/>
    </row>
    <row r="546" spans="1:11">
      <c r="A546" s="198"/>
      <c r="B546" s="196" t="s">
        <v>360</v>
      </c>
      <c r="C546" s="221" t="s">
        <v>38</v>
      </c>
      <c r="D546" s="196">
        <v>3.92</v>
      </c>
      <c r="E546" s="207"/>
      <c r="F546" s="212">
        <f>D546*E546</f>
        <v>0</v>
      </c>
      <c r="G546" s="193"/>
      <c r="I546" s="103"/>
      <c r="J546" s="103"/>
      <c r="K546" s="103"/>
    </row>
    <row r="547" spans="1:11">
      <c r="A547" s="32"/>
      <c r="B547" s="129"/>
      <c r="C547" s="22"/>
      <c r="D547" s="22"/>
      <c r="E547" s="22"/>
      <c r="F547" s="30"/>
      <c r="G547" s="186"/>
      <c r="I547" s="103"/>
      <c r="J547" s="103"/>
      <c r="K547" s="103"/>
    </row>
    <row r="548" spans="1:11">
      <c r="A548" s="79" t="s">
        <v>233</v>
      </c>
      <c r="B548" s="312" t="s">
        <v>1172</v>
      </c>
      <c r="C548" s="41"/>
      <c r="D548" s="136"/>
      <c r="E548" s="27"/>
      <c r="F548" s="30"/>
      <c r="G548" s="186"/>
      <c r="H548" s="124"/>
      <c r="I548" s="103"/>
      <c r="J548" s="103"/>
      <c r="K548" s="103"/>
    </row>
    <row r="549" spans="1:11">
      <c r="A549" s="32"/>
      <c r="B549" s="22" t="s">
        <v>400</v>
      </c>
      <c r="C549" s="41"/>
      <c r="D549" s="136"/>
      <c r="E549" s="27"/>
      <c r="F549" s="30"/>
      <c r="G549" s="186"/>
      <c r="H549" s="124"/>
      <c r="I549" s="103"/>
      <c r="J549" s="103"/>
      <c r="K549" s="103"/>
    </row>
    <row r="550" spans="1:11">
      <c r="A550" s="32"/>
      <c r="B550" s="22"/>
      <c r="C550" s="41"/>
      <c r="D550" s="136"/>
      <c r="E550" s="27"/>
      <c r="F550" s="30"/>
      <c r="G550" s="186"/>
      <c r="H550" s="124"/>
      <c r="I550" s="103"/>
      <c r="J550" s="103"/>
      <c r="K550" s="103"/>
    </row>
    <row r="551" spans="1:11">
      <c r="A551" s="32"/>
      <c r="B551" s="22" t="s">
        <v>27</v>
      </c>
      <c r="C551" s="41"/>
      <c r="D551" s="136"/>
      <c r="E551" s="22"/>
      <c r="F551" s="30"/>
      <c r="G551" s="186"/>
      <c r="I551" s="103"/>
      <c r="J551" s="103"/>
      <c r="K551" s="103"/>
    </row>
    <row r="552" spans="1:11" ht="25.5">
      <c r="A552" s="32"/>
      <c r="B552" s="23" t="s">
        <v>857</v>
      </c>
      <c r="C552" s="41"/>
      <c r="D552" s="136">
        <f>4.27+1.89+4.61+1.73+4.3+3.96+4.33+1.59+4.69</f>
        <v>31.370000000000005</v>
      </c>
      <c r="E552" s="22"/>
      <c r="F552" s="30"/>
      <c r="G552" s="186"/>
      <c r="I552" s="103"/>
      <c r="J552" s="103"/>
      <c r="K552" s="103"/>
    </row>
    <row r="553" spans="1:11">
      <c r="A553" s="32"/>
      <c r="B553" s="22"/>
      <c r="C553" s="41"/>
      <c r="D553" s="136"/>
      <c r="E553" s="22"/>
      <c r="F553" s="30"/>
      <c r="G553" s="186"/>
      <c r="I553" s="103"/>
      <c r="J553" s="103"/>
      <c r="K553" s="103"/>
    </row>
    <row r="554" spans="1:11">
      <c r="A554" s="32"/>
      <c r="B554" s="22" t="s">
        <v>360</v>
      </c>
      <c r="C554" s="41"/>
      <c r="D554" s="136"/>
      <c r="E554" s="22"/>
      <c r="F554" s="30"/>
      <c r="G554" s="186"/>
      <c r="I554" s="103"/>
      <c r="J554" s="103"/>
      <c r="K554" s="103"/>
    </row>
    <row r="555" spans="1:11">
      <c r="A555" s="32"/>
      <c r="B555" s="23" t="s">
        <v>858</v>
      </c>
      <c r="C555" s="41"/>
      <c r="D555" s="136">
        <f>4.27+1.89+3.97+4.3+3.96+4.33+1.59</f>
        <v>24.31</v>
      </c>
      <c r="E555" s="22"/>
      <c r="F555" s="30"/>
      <c r="G555" s="186"/>
      <c r="I555" s="103"/>
      <c r="J555" s="103"/>
      <c r="K555" s="103"/>
    </row>
    <row r="556" spans="1:11">
      <c r="A556" s="32"/>
      <c r="B556" s="22"/>
      <c r="C556" s="41"/>
      <c r="D556" s="23"/>
      <c r="E556" s="22"/>
      <c r="F556" s="30"/>
      <c r="G556" s="186"/>
      <c r="I556" s="103"/>
      <c r="J556" s="103"/>
      <c r="K556" s="103"/>
    </row>
    <row r="557" spans="1:11">
      <c r="A557" s="32"/>
      <c r="B557" s="22" t="s">
        <v>361</v>
      </c>
      <c r="C557" s="41"/>
      <c r="D557" s="136"/>
      <c r="E557" s="22"/>
      <c r="F557" s="30"/>
      <c r="G557" s="186"/>
      <c r="I557" s="103"/>
      <c r="J557" s="103"/>
      <c r="K557" s="103"/>
    </row>
    <row r="558" spans="1:11" ht="25.5">
      <c r="A558" s="32"/>
      <c r="B558" s="23" t="s">
        <v>859</v>
      </c>
      <c r="C558" s="41"/>
      <c r="D558" s="134">
        <f>(4.27+1.59+3.92+3.97+4.3+3.96+4.33+1.59+4.67)*3</f>
        <v>97.800000000000011</v>
      </c>
      <c r="E558" s="22"/>
      <c r="F558" s="30"/>
      <c r="G558" s="186"/>
      <c r="I558" s="103"/>
      <c r="J558" s="103"/>
      <c r="K558" s="103"/>
    </row>
    <row r="559" spans="1:11">
      <c r="A559" s="32"/>
      <c r="B559" s="82"/>
      <c r="C559" s="41"/>
      <c r="D559" s="136"/>
      <c r="E559" s="22"/>
      <c r="F559" s="30"/>
      <c r="G559" s="186"/>
      <c r="I559" s="103"/>
      <c r="J559" s="103"/>
      <c r="K559" s="103"/>
    </row>
    <row r="560" spans="1:11">
      <c r="A560" s="32"/>
      <c r="B560" s="82" t="s">
        <v>234</v>
      </c>
      <c r="C560" s="41" t="s">
        <v>38</v>
      </c>
      <c r="D560" s="136">
        <f>SUM(D552:D559)</f>
        <v>153.48000000000002</v>
      </c>
      <c r="E560" s="16"/>
      <c r="F560" s="30">
        <f>D560*E560</f>
        <v>0</v>
      </c>
      <c r="G560" s="193"/>
      <c r="H560" s="8"/>
      <c r="I560" s="103"/>
      <c r="J560" s="103"/>
      <c r="K560" s="103"/>
    </row>
    <row r="561" spans="1:11" s="103" customFormat="1">
      <c r="A561" s="32"/>
      <c r="B561" s="82"/>
      <c r="C561" s="41"/>
      <c r="D561" s="136"/>
      <c r="E561" s="27"/>
      <c r="F561" s="30"/>
      <c r="G561" s="186"/>
      <c r="H561" s="124"/>
    </row>
    <row r="562" spans="1:11" ht="89.25">
      <c r="A562" s="76" t="s">
        <v>235</v>
      </c>
      <c r="B562" s="22" t="s">
        <v>401</v>
      </c>
      <c r="C562" s="22"/>
      <c r="D562" s="22"/>
      <c r="E562" s="22"/>
      <c r="F562" s="63"/>
      <c r="G562" s="186"/>
      <c r="I562" s="103"/>
      <c r="J562" s="103"/>
      <c r="K562" s="103"/>
    </row>
    <row r="563" spans="1:11" ht="51">
      <c r="A563" s="32"/>
      <c r="B563" s="22" t="s">
        <v>170</v>
      </c>
      <c r="C563" s="22"/>
      <c r="D563" s="22"/>
      <c r="E563" s="22"/>
      <c r="F563" s="63"/>
      <c r="G563" s="186"/>
      <c r="I563" s="103"/>
      <c r="J563" s="103"/>
      <c r="K563" s="103"/>
    </row>
    <row r="564" spans="1:11" ht="51">
      <c r="A564" s="32"/>
      <c r="B564" s="17" t="s">
        <v>402</v>
      </c>
      <c r="C564" s="22"/>
      <c r="D564" s="22"/>
      <c r="E564" s="22"/>
      <c r="F564" s="63"/>
      <c r="G564" s="186"/>
      <c r="I564" s="103"/>
      <c r="J564" s="103"/>
      <c r="K564" s="103"/>
    </row>
    <row r="565" spans="1:11">
      <c r="A565" s="32"/>
      <c r="B565" s="17"/>
      <c r="C565" s="22"/>
      <c r="D565" s="22"/>
      <c r="E565" s="22"/>
      <c r="F565" s="63"/>
      <c r="G565" s="186"/>
      <c r="I565" s="103"/>
      <c r="J565" s="103"/>
      <c r="K565" s="103"/>
    </row>
    <row r="566" spans="1:11">
      <c r="A566" s="79" t="s">
        <v>236</v>
      </c>
      <c r="B566" s="22" t="s">
        <v>54</v>
      </c>
      <c r="C566" s="22"/>
      <c r="D566" s="22"/>
      <c r="E566" s="22"/>
      <c r="F566" s="63"/>
      <c r="G566" s="186"/>
      <c r="I566" s="103"/>
      <c r="J566" s="103"/>
      <c r="K566" s="103"/>
    </row>
    <row r="567" spans="1:11">
      <c r="A567" s="79"/>
      <c r="B567" s="22"/>
      <c r="C567" s="22"/>
      <c r="D567" s="22"/>
      <c r="E567" s="22"/>
      <c r="F567" s="63"/>
      <c r="G567" s="186"/>
      <c r="I567" s="103"/>
      <c r="J567" s="103"/>
      <c r="K567" s="103"/>
    </row>
    <row r="568" spans="1:11">
      <c r="A568" s="79"/>
      <c r="B568" s="22" t="s">
        <v>27</v>
      </c>
      <c r="C568" s="22"/>
      <c r="D568" s="22"/>
      <c r="E568" s="22"/>
      <c r="F568" s="63"/>
      <c r="G568" s="186"/>
      <c r="I568" s="103"/>
      <c r="J568" s="103"/>
      <c r="K568" s="103"/>
    </row>
    <row r="569" spans="1:11" ht="89.25">
      <c r="A569" s="79"/>
      <c r="B569" s="23" t="s">
        <v>866</v>
      </c>
      <c r="C569" s="22"/>
      <c r="D569" s="80">
        <f>2.77*(9.49+24.6+10.33+14.28+13.48+4.55+11.99+20.83+9.81+12.11+14.6+14.7+8.43+5.11+20.91+8.37+11.31+4.04+21.23+8.72+10.05+23.9+10+14.28+13.53+4.45+7.29+9.27+8.8+7.7)-(2.1*1.6*2+(0.9*2.4+1.8*1.6)*3+2.7*1.6-3*6)</f>
        <v>983.94319999999982</v>
      </c>
      <c r="E569" s="22"/>
      <c r="F569" s="63"/>
      <c r="G569" s="186"/>
      <c r="I569" s="103"/>
      <c r="J569" s="103"/>
      <c r="K569" s="103"/>
    </row>
    <row r="570" spans="1:11">
      <c r="A570" s="79"/>
      <c r="B570" s="22"/>
      <c r="C570" s="22"/>
      <c r="D570" s="22"/>
      <c r="E570" s="22"/>
      <c r="F570" s="63"/>
      <c r="G570" s="186"/>
      <c r="I570" s="103"/>
      <c r="J570" s="103"/>
      <c r="K570" s="103"/>
    </row>
    <row r="571" spans="1:11">
      <c r="A571" s="79"/>
      <c r="B571" s="22" t="s">
        <v>360</v>
      </c>
      <c r="C571" s="22"/>
      <c r="D571" s="22"/>
      <c r="E571" s="22"/>
      <c r="F571" s="63"/>
      <c r="G571" s="186"/>
      <c r="I571" s="103"/>
      <c r="J571" s="103"/>
      <c r="K571" s="103"/>
    </row>
    <row r="572" spans="1:11" ht="76.5">
      <c r="A572" s="213"/>
      <c r="B572" s="222" t="s">
        <v>867</v>
      </c>
      <c r="C572" s="196"/>
      <c r="D572" s="203">
        <f>2.77*(9.49+24.6+10.33+14.28+13.48+4.55+9.1+18.46+8.6+14.92+11.01+19.93+8.52+13.52+5.11+20.04+8.54+11.31+4.04+21.23+8.82+10.05+23.9+10+14.28+13.53+10.05+7.29+19.27+8.8)-(2.1*1.6*2+(0.9*2.4+1.8*1.6)*5-3*7)</f>
        <v>1033.5084999999999</v>
      </c>
      <c r="E572" s="196"/>
      <c r="F572" s="197"/>
      <c r="G572" s="186"/>
      <c r="I572" s="103"/>
      <c r="J572" s="103"/>
      <c r="K572" s="103"/>
    </row>
    <row r="573" spans="1:11">
      <c r="A573" s="79"/>
      <c r="B573" s="22"/>
      <c r="C573" s="22"/>
      <c r="D573" s="22"/>
      <c r="E573" s="22"/>
      <c r="F573" s="63"/>
      <c r="G573" s="186"/>
      <c r="I573" s="103"/>
      <c r="J573" s="103"/>
      <c r="K573" s="103"/>
    </row>
    <row r="574" spans="1:11">
      <c r="A574" s="79"/>
      <c r="B574" s="22" t="s">
        <v>361</v>
      </c>
      <c r="C574" s="22"/>
      <c r="D574" s="22"/>
      <c r="E574" s="22"/>
      <c r="F574" s="63"/>
      <c r="G574" s="186"/>
      <c r="I574" s="103"/>
      <c r="J574" s="103"/>
      <c r="K574" s="103"/>
    </row>
    <row r="575" spans="1:11" ht="76.5">
      <c r="A575" s="79"/>
      <c r="B575" s="23" t="s">
        <v>868</v>
      </c>
      <c r="C575" s="22"/>
      <c r="D575" s="80">
        <f>2.77*(9.49+24.6+10.33+14.28+13.48+4.55+9.1+18.46+8.6+14.92+11.01+19.93+8.52+13.52+5.11+20.04+8.54+11.31+4.04+21.23+8.82+10.05+23.9+10+14.28+13.53+10.05+7.29+19.27+8.8)*3-(2.1*1.6*2+(0.9*2.4+1.8*1.6)*5-3*7)*3</f>
        <v>3100.5254999999997</v>
      </c>
      <c r="E575" s="22"/>
      <c r="F575" s="63"/>
      <c r="G575" s="186"/>
      <c r="I575" s="112"/>
      <c r="J575" s="103"/>
      <c r="K575" s="103"/>
    </row>
    <row r="576" spans="1:11">
      <c r="A576" s="32"/>
      <c r="B576" s="23"/>
      <c r="C576" s="22"/>
      <c r="D576" s="78"/>
      <c r="E576" s="22"/>
      <c r="F576" s="63"/>
      <c r="G576" s="186"/>
      <c r="I576" s="103"/>
      <c r="J576" s="103"/>
      <c r="K576" s="103"/>
    </row>
    <row r="577" spans="1:11">
      <c r="A577" s="32"/>
      <c r="B577" s="22" t="s">
        <v>237</v>
      </c>
      <c r="C577" s="13" t="s">
        <v>38</v>
      </c>
      <c r="D577" s="78">
        <f>SUM(D569:D576)</f>
        <v>5117.9771999999994</v>
      </c>
      <c r="E577" s="10"/>
      <c r="F577" s="30">
        <f>E577*D577</f>
        <v>0</v>
      </c>
      <c r="G577" s="193"/>
      <c r="H577" s="9"/>
      <c r="I577" s="103"/>
      <c r="J577" s="103"/>
      <c r="K577" s="103"/>
    </row>
    <row r="578" spans="1:11">
      <c r="A578" s="44"/>
      <c r="B578" s="21"/>
      <c r="C578" s="13"/>
      <c r="D578" s="21"/>
      <c r="E578" s="22"/>
      <c r="F578" s="63"/>
      <c r="G578" s="186"/>
      <c r="I578" s="103"/>
      <c r="J578" s="103"/>
      <c r="K578" s="103"/>
    </row>
    <row r="579" spans="1:11">
      <c r="A579" s="161" t="s">
        <v>407</v>
      </c>
      <c r="B579" s="80" t="s">
        <v>408</v>
      </c>
      <c r="C579" s="22"/>
      <c r="D579" s="22"/>
      <c r="E579" s="19"/>
      <c r="F579" s="63"/>
      <c r="G579" s="186"/>
      <c r="I579" s="103"/>
      <c r="J579" s="103"/>
      <c r="K579" s="103"/>
    </row>
    <row r="580" spans="1:11">
      <c r="A580" s="79"/>
      <c r="B580" s="23"/>
      <c r="C580" s="22"/>
      <c r="D580" s="22"/>
      <c r="E580" s="19"/>
      <c r="F580" s="63"/>
      <c r="G580" s="186"/>
      <c r="I580" s="103"/>
      <c r="J580" s="103"/>
      <c r="K580" s="103"/>
    </row>
    <row r="581" spans="1:11">
      <c r="A581" s="79"/>
      <c r="B581" s="22" t="s">
        <v>27</v>
      </c>
      <c r="C581" s="22"/>
      <c r="D581" s="22"/>
      <c r="E581" s="19"/>
      <c r="F581" s="63"/>
      <c r="G581" s="186"/>
      <c r="I581" s="103"/>
      <c r="J581" s="103"/>
      <c r="K581" s="103"/>
    </row>
    <row r="582" spans="1:11" ht="63.75">
      <c r="A582" s="79"/>
      <c r="B582" s="23" t="s">
        <v>863</v>
      </c>
      <c r="C582" s="22"/>
      <c r="D582" s="80">
        <f>4.98+24.39+5.58+11.61+11.32+1.24+6.46+24.15+5.55+9.17+12.79+12.2+3.22+1.37+20.41+4.18+7.54+0.96+21.24+4.26+5.87+23.48+5.39+11.56+11.4+1.24+3.17+23.11+4.4+30.3+11.97+2.69</f>
        <v>327.2</v>
      </c>
      <c r="E582" s="19"/>
      <c r="F582" s="63"/>
      <c r="G582" s="186"/>
      <c r="I582" s="103"/>
      <c r="J582" s="103"/>
      <c r="K582" s="103"/>
    </row>
    <row r="583" spans="1:11">
      <c r="A583" s="79"/>
      <c r="B583" s="22"/>
      <c r="C583" s="22"/>
      <c r="D583" s="22"/>
      <c r="E583" s="19"/>
      <c r="F583" s="63"/>
      <c r="G583" s="186"/>
      <c r="I583" s="103"/>
      <c r="J583" s="103"/>
      <c r="K583" s="103"/>
    </row>
    <row r="584" spans="1:11">
      <c r="A584" s="79"/>
      <c r="B584" s="22" t="s">
        <v>360</v>
      </c>
      <c r="C584" s="22"/>
      <c r="D584" s="22"/>
      <c r="E584" s="19"/>
      <c r="F584" s="63"/>
      <c r="G584" s="186"/>
      <c r="I584" s="103"/>
      <c r="J584" s="103"/>
      <c r="K584" s="103"/>
    </row>
    <row r="585" spans="1:11" ht="63.75">
      <c r="A585" s="79"/>
      <c r="B585" s="23" t="s">
        <v>864</v>
      </c>
      <c r="C585" s="22"/>
      <c r="D585" s="80">
        <f>4.98+24.39+5.58+11.61+11.32+1.24+4.53+20.46+4.2+12.45+5.13+20.56+4.14+10.97+1.37+20.41+4.18+7.54+0.96+21.24+4.26+5.87+23.48+5.39+11.56+11.4+1.24+3.17+23.11+4.4+37.34</f>
        <v>328.48</v>
      </c>
      <c r="E585" s="19"/>
      <c r="F585" s="63"/>
      <c r="G585" s="186"/>
      <c r="I585" s="103"/>
      <c r="J585" s="103"/>
      <c r="K585" s="103"/>
    </row>
    <row r="586" spans="1:11">
      <c r="A586" s="79"/>
      <c r="B586" s="22"/>
      <c r="C586" s="22"/>
      <c r="D586" s="22"/>
      <c r="E586" s="19"/>
      <c r="F586" s="63"/>
      <c r="G586" s="186"/>
      <c r="I586" s="103"/>
      <c r="J586" s="103"/>
      <c r="K586" s="103"/>
    </row>
    <row r="587" spans="1:11">
      <c r="A587" s="79"/>
      <c r="B587" s="22" t="s">
        <v>361</v>
      </c>
      <c r="C587" s="22"/>
      <c r="D587" s="80"/>
      <c r="E587" s="19"/>
      <c r="F587" s="63"/>
      <c r="G587" s="186"/>
      <c r="I587" s="103"/>
      <c r="J587" s="103"/>
      <c r="K587" s="103"/>
    </row>
    <row r="588" spans="1:11" ht="63.75">
      <c r="A588" s="79"/>
      <c r="B588" s="23" t="s">
        <v>865</v>
      </c>
      <c r="C588" s="22"/>
      <c r="D588" s="80">
        <f>(4.98+24.39+5.58+11.61+11.32+1.24+4.53+20.46+4.2+12.45+5.13+20.56+4.14+10.97+1.37+20.41+4.18+7.54+0.96+21.24+4.26+5.87+23.48+5.39+11.56+11.4+1.24+3.17+23.11+4.4+37.34)*3</f>
        <v>985.44</v>
      </c>
      <c r="E588" s="19"/>
      <c r="F588" s="63"/>
      <c r="G588" s="186"/>
      <c r="I588" s="103"/>
      <c r="J588" s="103"/>
      <c r="K588" s="103"/>
    </row>
    <row r="589" spans="1:11">
      <c r="A589" s="32"/>
      <c r="B589" s="23"/>
      <c r="C589" s="22"/>
      <c r="D589" s="78"/>
      <c r="E589" s="19"/>
      <c r="F589" s="63"/>
      <c r="G589" s="186"/>
      <c r="I589" s="103"/>
      <c r="J589" s="103"/>
      <c r="K589" s="103"/>
    </row>
    <row r="590" spans="1:11">
      <c r="A590" s="32"/>
      <c r="B590" s="22" t="s">
        <v>409</v>
      </c>
      <c r="C590" s="13" t="s">
        <v>38</v>
      </c>
      <c r="D590" s="78">
        <f>SUM(D582:D589)</f>
        <v>1641.1200000000001</v>
      </c>
      <c r="E590" s="10"/>
      <c r="F590" s="30">
        <f>E590*D590</f>
        <v>0</v>
      </c>
      <c r="G590" s="193"/>
      <c r="I590" s="103"/>
      <c r="J590" s="103"/>
      <c r="K590" s="103"/>
    </row>
    <row r="591" spans="1:11">
      <c r="A591" s="44"/>
      <c r="B591" s="21"/>
      <c r="C591" s="13"/>
      <c r="D591" s="21"/>
      <c r="E591" s="22"/>
      <c r="F591" s="63"/>
      <c r="G591" s="186"/>
      <c r="I591" s="103"/>
      <c r="J591" s="103"/>
      <c r="K591" s="103"/>
    </row>
    <row r="592" spans="1:11" ht="102">
      <c r="A592" s="76" t="s">
        <v>238</v>
      </c>
      <c r="B592" s="22" t="s">
        <v>985</v>
      </c>
      <c r="C592" s="22"/>
      <c r="D592" s="22"/>
      <c r="E592" s="19"/>
      <c r="F592" s="63"/>
      <c r="G592" s="186"/>
      <c r="I592" s="103"/>
      <c r="J592" s="103"/>
      <c r="K592" s="103"/>
    </row>
    <row r="593" spans="1:11" ht="51">
      <c r="A593" s="76"/>
      <c r="B593" s="22" t="s">
        <v>170</v>
      </c>
      <c r="C593" s="22"/>
      <c r="D593" s="22"/>
      <c r="E593" s="19"/>
      <c r="F593" s="63"/>
      <c r="G593" s="186"/>
      <c r="I593" s="103"/>
      <c r="J593" s="103"/>
      <c r="K593" s="103"/>
    </row>
    <row r="594" spans="1:11" ht="51">
      <c r="A594" s="198"/>
      <c r="B594" s="284" t="s">
        <v>402</v>
      </c>
      <c r="C594" s="196"/>
      <c r="D594" s="196"/>
      <c r="E594" s="210"/>
      <c r="F594" s="197"/>
      <c r="G594" s="186"/>
      <c r="I594" s="103"/>
      <c r="J594" s="103"/>
      <c r="K594" s="103"/>
    </row>
    <row r="595" spans="1:11">
      <c r="A595" s="44"/>
      <c r="B595" s="21"/>
      <c r="C595" s="13"/>
      <c r="D595" s="21"/>
      <c r="E595" s="19"/>
      <c r="F595" s="63"/>
      <c r="G595" s="186"/>
      <c r="I595" s="103"/>
      <c r="J595" s="103"/>
      <c r="K595" s="103"/>
    </row>
    <row r="596" spans="1:11">
      <c r="A596" s="44"/>
      <c r="B596" s="22" t="s">
        <v>27</v>
      </c>
      <c r="C596" s="22"/>
      <c r="D596" s="22"/>
      <c r="E596" s="19"/>
      <c r="F596" s="63"/>
      <c r="G596" s="186"/>
      <c r="I596" s="103"/>
      <c r="J596" s="103"/>
      <c r="K596" s="103"/>
    </row>
    <row r="597" spans="1:11" ht="25.5">
      <c r="A597" s="44"/>
      <c r="B597" s="23" t="s">
        <v>982</v>
      </c>
      <c r="C597" s="22"/>
      <c r="D597" s="80">
        <f>2.77*(8.75+5.18+8.6+5.46+8.73+8.17+8.61+5.18+8.79)</f>
        <v>186.89189999999999</v>
      </c>
      <c r="E597" s="19"/>
      <c r="F597" s="63"/>
      <c r="G597" s="186"/>
      <c r="I597" s="103"/>
      <c r="J597" s="103"/>
      <c r="K597" s="103"/>
    </row>
    <row r="598" spans="1:11">
      <c r="A598" s="44"/>
      <c r="B598" s="22"/>
      <c r="C598" s="22"/>
      <c r="D598" s="22"/>
      <c r="E598" s="19"/>
      <c r="F598" s="63"/>
      <c r="G598" s="186"/>
      <c r="I598" s="103"/>
      <c r="J598" s="103"/>
      <c r="K598" s="103"/>
    </row>
    <row r="599" spans="1:11">
      <c r="A599" s="44"/>
      <c r="B599" s="22" t="s">
        <v>360</v>
      </c>
      <c r="C599" s="22"/>
      <c r="D599" s="22"/>
      <c r="E599" s="19"/>
      <c r="F599" s="63"/>
      <c r="G599" s="186"/>
      <c r="I599" s="103"/>
      <c r="J599" s="103"/>
      <c r="K599" s="103"/>
    </row>
    <row r="600" spans="1:11" ht="25.5">
      <c r="A600" s="44"/>
      <c r="B600" s="23" t="s">
        <v>983</v>
      </c>
      <c r="C600" s="22"/>
      <c r="D600" s="80">
        <f>2.77*(8.75+5.18+8.6+8.4+8.73+8.17+8.61+5.18+8.79)</f>
        <v>195.03569999999999</v>
      </c>
      <c r="E600" s="19"/>
      <c r="F600" s="63"/>
      <c r="G600" s="186"/>
      <c r="I600" s="103"/>
      <c r="J600" s="103"/>
      <c r="K600" s="103"/>
    </row>
    <row r="601" spans="1:11">
      <c r="A601" s="44"/>
      <c r="B601" s="22"/>
      <c r="C601" s="22"/>
      <c r="D601" s="22"/>
      <c r="E601" s="19"/>
      <c r="F601" s="63"/>
      <c r="G601" s="186"/>
      <c r="I601" s="103"/>
      <c r="J601" s="103"/>
      <c r="K601" s="103"/>
    </row>
    <row r="602" spans="1:11">
      <c r="A602" s="44"/>
      <c r="B602" s="22" t="s">
        <v>361</v>
      </c>
      <c r="C602" s="22"/>
      <c r="D602" s="22"/>
      <c r="E602" s="19"/>
      <c r="F602" s="63"/>
      <c r="G602" s="186"/>
      <c r="I602" s="103"/>
      <c r="J602" s="103"/>
      <c r="K602" s="103"/>
    </row>
    <row r="603" spans="1:11" ht="25.5">
      <c r="A603" s="44"/>
      <c r="B603" s="23" t="s">
        <v>984</v>
      </c>
      <c r="C603" s="22"/>
      <c r="D603" s="80">
        <f>2.77*(8.75+5.18+8.6+8.4+8.73+8.17+8.61+5.18+8.79)*3</f>
        <v>585.10709999999995</v>
      </c>
      <c r="E603" s="19"/>
      <c r="F603" s="63"/>
      <c r="G603" s="186"/>
      <c r="I603" s="103"/>
      <c r="J603" s="103"/>
      <c r="K603" s="103"/>
    </row>
    <row r="604" spans="1:11">
      <c r="A604" s="44"/>
      <c r="B604" s="21"/>
      <c r="C604" s="13"/>
      <c r="D604" s="21"/>
      <c r="E604" s="19"/>
      <c r="F604" s="63"/>
      <c r="G604" s="186"/>
      <c r="I604" s="103"/>
      <c r="J604" s="103"/>
      <c r="K604" s="103"/>
    </row>
    <row r="605" spans="1:11">
      <c r="A605" s="44"/>
      <c r="B605" s="22" t="s">
        <v>403</v>
      </c>
      <c r="C605" s="13" t="s">
        <v>38</v>
      </c>
      <c r="D605" s="78">
        <f>SUM(D597:D603)</f>
        <v>967.03469999999993</v>
      </c>
      <c r="E605" s="10"/>
      <c r="F605" s="30">
        <f>E605*D605</f>
        <v>0</v>
      </c>
      <c r="G605" s="193"/>
      <c r="I605" s="103"/>
      <c r="J605" s="103"/>
      <c r="K605" s="103"/>
    </row>
    <row r="606" spans="1:11">
      <c r="A606" s="44"/>
      <c r="B606" s="21"/>
      <c r="C606" s="13"/>
      <c r="D606" s="21"/>
      <c r="E606" s="22"/>
      <c r="F606" s="63"/>
      <c r="G606" s="186"/>
      <c r="I606" s="103"/>
      <c r="J606" s="103"/>
      <c r="K606" s="103"/>
    </row>
    <row r="607" spans="1:11" ht="38.25">
      <c r="A607" s="44" t="s">
        <v>288</v>
      </c>
      <c r="B607" s="8" t="s">
        <v>980</v>
      </c>
      <c r="C607" s="13"/>
      <c r="D607" s="21"/>
      <c r="E607" s="22"/>
      <c r="F607" s="63"/>
      <c r="G607" s="186"/>
      <c r="I607" s="103"/>
      <c r="J607" s="103"/>
      <c r="K607" s="103"/>
    </row>
    <row r="608" spans="1:11" ht="63.75">
      <c r="A608" s="44"/>
      <c r="B608" s="8" t="s">
        <v>404</v>
      </c>
      <c r="C608" s="13"/>
      <c r="D608" s="21"/>
      <c r="E608" s="22"/>
      <c r="F608" s="63"/>
      <c r="G608" s="186"/>
      <c r="I608" s="103"/>
      <c r="J608" s="103"/>
      <c r="K608" s="103"/>
    </row>
    <row r="609" spans="1:11" ht="51">
      <c r="A609" s="44"/>
      <c r="B609" s="17" t="s">
        <v>402</v>
      </c>
      <c r="C609" s="13"/>
      <c r="D609" s="21"/>
      <c r="E609" s="22"/>
      <c r="F609" s="63"/>
      <c r="G609" s="186"/>
      <c r="I609" s="103"/>
      <c r="J609" s="103"/>
      <c r="K609" s="103"/>
    </row>
    <row r="610" spans="1:11">
      <c r="A610" s="44"/>
      <c r="B610" s="21"/>
      <c r="C610" s="13"/>
      <c r="D610" s="21"/>
      <c r="E610" s="22"/>
      <c r="F610" s="63"/>
      <c r="G610" s="186"/>
      <c r="I610" s="103"/>
      <c r="J610" s="103"/>
      <c r="K610" s="103"/>
    </row>
    <row r="611" spans="1:11">
      <c r="A611" s="44"/>
      <c r="B611" s="22" t="s">
        <v>27</v>
      </c>
      <c r="C611" s="22"/>
      <c r="D611" s="22"/>
      <c r="E611" s="19"/>
      <c r="F611" s="63"/>
      <c r="G611" s="186"/>
      <c r="I611" s="103"/>
      <c r="J611" s="103"/>
      <c r="K611" s="103"/>
    </row>
    <row r="612" spans="1:11">
      <c r="A612" s="44"/>
      <c r="B612" s="23" t="s">
        <v>981</v>
      </c>
      <c r="C612" s="22"/>
      <c r="D612" s="23">
        <f>2.56*(1.6+0.42)</f>
        <v>5.1711999999999998</v>
      </c>
      <c r="E612" s="19"/>
      <c r="F612" s="63"/>
      <c r="G612" s="186"/>
      <c r="I612" s="103"/>
      <c r="J612" s="103"/>
      <c r="K612" s="103"/>
    </row>
    <row r="613" spans="1:11">
      <c r="A613" s="44"/>
      <c r="B613" s="22"/>
      <c r="C613" s="22"/>
      <c r="D613" s="22"/>
      <c r="E613" s="19"/>
      <c r="F613" s="63"/>
      <c r="G613" s="186"/>
      <c r="I613" s="103"/>
      <c r="J613" s="103"/>
      <c r="K613" s="103"/>
    </row>
    <row r="614" spans="1:11">
      <c r="A614" s="44"/>
      <c r="B614" s="22" t="s">
        <v>360</v>
      </c>
      <c r="C614" s="22"/>
      <c r="D614" s="22"/>
      <c r="E614" s="19"/>
      <c r="F614" s="63"/>
      <c r="G614" s="186"/>
      <c r="I614" s="103"/>
      <c r="J614" s="103"/>
      <c r="K614" s="103"/>
    </row>
    <row r="615" spans="1:11">
      <c r="A615" s="44"/>
      <c r="B615" s="23" t="s">
        <v>981</v>
      </c>
      <c r="C615" s="22"/>
      <c r="D615" s="23">
        <f>2.56*(1.6+0.42)</f>
        <v>5.1711999999999998</v>
      </c>
      <c r="E615" s="19"/>
      <c r="F615" s="63"/>
      <c r="G615" s="186"/>
      <c r="I615" s="103"/>
      <c r="J615" s="103"/>
      <c r="K615" s="103"/>
    </row>
    <row r="616" spans="1:11">
      <c r="A616" s="44"/>
      <c r="B616" s="22"/>
      <c r="C616" s="22"/>
      <c r="D616" s="22"/>
      <c r="E616" s="19"/>
      <c r="F616" s="63"/>
      <c r="G616" s="186"/>
      <c r="I616" s="103"/>
      <c r="J616" s="103"/>
      <c r="K616" s="103"/>
    </row>
    <row r="617" spans="1:11">
      <c r="A617" s="44"/>
      <c r="B617" s="22" t="s">
        <v>361</v>
      </c>
      <c r="C617" s="22"/>
      <c r="D617" s="22"/>
      <c r="E617" s="19"/>
      <c r="F617" s="63"/>
      <c r="G617" s="186"/>
      <c r="I617" s="103"/>
      <c r="J617" s="103"/>
      <c r="K617" s="103"/>
    </row>
    <row r="618" spans="1:11">
      <c r="A618" s="44"/>
      <c r="B618" s="23" t="s">
        <v>981</v>
      </c>
      <c r="C618" s="22"/>
      <c r="D618" s="23">
        <f>2.56*(1.6+0.42)*3</f>
        <v>15.5136</v>
      </c>
      <c r="E618" s="19"/>
      <c r="F618" s="63"/>
      <c r="G618" s="186"/>
      <c r="I618" s="103"/>
      <c r="J618" s="103"/>
      <c r="K618" s="103"/>
    </row>
    <row r="619" spans="1:11">
      <c r="A619" s="44"/>
      <c r="B619" s="103"/>
      <c r="C619" s="22"/>
      <c r="D619" s="22"/>
      <c r="E619" s="19"/>
      <c r="F619" s="63"/>
      <c r="G619" s="186"/>
      <c r="I619" s="103"/>
      <c r="J619" s="103"/>
      <c r="K619" s="103"/>
    </row>
    <row r="620" spans="1:11">
      <c r="A620" s="214"/>
      <c r="B620" s="196" t="s">
        <v>225</v>
      </c>
      <c r="C620" s="202" t="s">
        <v>38</v>
      </c>
      <c r="D620" s="196">
        <f>SUM(D612:D619)</f>
        <v>25.856000000000002</v>
      </c>
      <c r="E620" s="215"/>
      <c r="F620" s="212">
        <f>E620*D620</f>
        <v>0</v>
      </c>
      <c r="G620" s="193"/>
      <c r="I620" s="103"/>
      <c r="J620" s="103"/>
      <c r="K620" s="103"/>
    </row>
    <row r="621" spans="1:11">
      <c r="A621" s="44"/>
      <c r="B621" s="21"/>
      <c r="C621" s="13"/>
      <c r="D621" s="21"/>
      <c r="E621" s="22"/>
      <c r="F621" s="63"/>
      <c r="G621" s="186"/>
      <c r="I621" s="103"/>
      <c r="J621" s="103"/>
      <c r="K621" s="103"/>
    </row>
    <row r="622" spans="1:11" ht="63.75">
      <c r="A622" s="44" t="s">
        <v>405</v>
      </c>
      <c r="B622" s="21" t="s">
        <v>410</v>
      </c>
      <c r="C622" s="13"/>
      <c r="D622" s="21"/>
      <c r="E622" s="22"/>
      <c r="F622" s="63"/>
      <c r="G622" s="186"/>
      <c r="I622" s="103"/>
      <c r="J622" s="103"/>
      <c r="K622" s="103"/>
    </row>
    <row r="623" spans="1:11" ht="25.5">
      <c r="A623" s="44"/>
      <c r="B623" s="237" t="s">
        <v>411</v>
      </c>
      <c r="C623" s="13"/>
      <c r="D623" s="21"/>
      <c r="E623" s="22"/>
      <c r="F623" s="63"/>
      <c r="G623" s="186"/>
      <c r="I623" s="103"/>
      <c r="J623" s="103"/>
      <c r="K623" s="103"/>
    </row>
    <row r="624" spans="1:11" ht="38.25">
      <c r="A624" s="44"/>
      <c r="B624" s="237" t="s">
        <v>412</v>
      </c>
      <c r="C624" s="13"/>
      <c r="D624" s="21"/>
      <c r="E624" s="22"/>
      <c r="F624" s="63"/>
      <c r="G624" s="186"/>
      <c r="I624" s="103"/>
      <c r="J624" s="103"/>
      <c r="K624" s="103"/>
    </row>
    <row r="625" spans="1:13" ht="51">
      <c r="A625" s="44"/>
      <c r="B625" s="22" t="s">
        <v>170</v>
      </c>
      <c r="C625" s="13"/>
      <c r="D625" s="21"/>
      <c r="E625" s="22"/>
      <c r="F625" s="63"/>
      <c r="G625" s="186"/>
      <c r="I625" s="103"/>
      <c r="J625" s="103"/>
      <c r="K625" s="103"/>
    </row>
    <row r="626" spans="1:13" ht="51">
      <c r="A626" s="44"/>
      <c r="B626" s="17" t="s">
        <v>402</v>
      </c>
      <c r="C626" s="13"/>
      <c r="D626" s="21"/>
      <c r="E626" s="22"/>
      <c r="F626" s="63"/>
      <c r="G626" s="186"/>
      <c r="I626" s="103"/>
      <c r="J626" s="103"/>
      <c r="K626" s="103"/>
    </row>
    <row r="627" spans="1:13">
      <c r="A627" s="44"/>
      <c r="B627" s="228"/>
      <c r="C627" s="13"/>
      <c r="D627" s="21"/>
      <c r="E627" s="22"/>
      <c r="F627" s="63"/>
      <c r="G627" s="186"/>
      <c r="I627" s="103"/>
      <c r="J627" s="103"/>
      <c r="K627" s="103"/>
    </row>
    <row r="628" spans="1:13" ht="38.25">
      <c r="A628" s="44"/>
      <c r="B628" s="8" t="s">
        <v>413</v>
      </c>
      <c r="C628" s="13"/>
      <c r="D628" s="21"/>
      <c r="E628" s="22"/>
      <c r="F628" s="63"/>
      <c r="G628" s="186"/>
      <c r="H628" s="8"/>
      <c r="I628" s="103"/>
      <c r="J628" s="103"/>
      <c r="K628" s="103"/>
    </row>
    <row r="629" spans="1:13">
      <c r="A629" s="44"/>
      <c r="B629" s="22" t="s">
        <v>27</v>
      </c>
      <c r="C629" s="22"/>
      <c r="D629" s="22"/>
      <c r="E629" s="19"/>
      <c r="F629" s="63"/>
      <c r="G629" s="186"/>
      <c r="H629" s="8"/>
      <c r="I629" s="103"/>
      <c r="J629" s="103"/>
      <c r="K629" s="103"/>
    </row>
    <row r="630" spans="1:13" ht="51">
      <c r="A630" s="44"/>
      <c r="B630" s="23" t="s">
        <v>1067</v>
      </c>
      <c r="C630" s="22"/>
      <c r="D630" s="103">
        <f>2.77*(40.5+14.65+5.18+2.33+2.59+1.58)-(2.85*2.4+1.92*2.67+1*2.1*6+0.9*2.1)+2.77*(3.96+1.1+2.68+2.35+4.5+4.18)</f>
        <v>210.65559999999999</v>
      </c>
      <c r="E630" s="19"/>
      <c r="F630" s="63"/>
      <c r="G630" s="186"/>
      <c r="H630" s="89"/>
      <c r="I630" s="103"/>
      <c r="J630" s="103"/>
      <c r="K630" s="103"/>
    </row>
    <row r="631" spans="1:13">
      <c r="A631" s="44"/>
      <c r="B631" s="22"/>
      <c r="C631" s="22"/>
      <c r="D631" s="103"/>
      <c r="E631" s="19"/>
      <c r="F631" s="63"/>
      <c r="G631" s="186"/>
      <c r="I631" s="103"/>
      <c r="J631" s="103"/>
      <c r="K631" s="103"/>
    </row>
    <row r="632" spans="1:13">
      <c r="A632" s="44"/>
      <c r="B632" s="22" t="s">
        <v>360</v>
      </c>
      <c r="C632" s="22"/>
      <c r="D632" s="103"/>
      <c r="E632" s="19"/>
      <c r="F632" s="63"/>
      <c r="G632" s="186"/>
      <c r="I632" s="103"/>
      <c r="J632" s="103"/>
      <c r="K632" s="103"/>
    </row>
    <row r="633" spans="1:13" ht="38.25">
      <c r="A633" s="44"/>
      <c r="B633" s="23" t="s">
        <v>1068</v>
      </c>
      <c r="C633" s="22"/>
      <c r="D633" s="103">
        <f>2.77*(42.3+15.6+2.33+2.59+1.58)-(2.85*2.4+1.62*2.4+1*2.1*7)+2.77*(4.5+2.35+2.68+3.96+1.1+2.2+2.25+4.05)</f>
        <v>216.91929999999996</v>
      </c>
      <c r="E633" s="19"/>
      <c r="F633" s="63"/>
      <c r="G633" s="186"/>
      <c r="H633" s="89"/>
      <c r="I633" s="103"/>
      <c r="J633" s="103"/>
      <c r="K633" s="103"/>
    </row>
    <row r="634" spans="1:13">
      <c r="A634" s="44"/>
      <c r="B634" s="22"/>
      <c r="C634" s="22"/>
      <c r="D634" s="103"/>
      <c r="E634" s="19"/>
      <c r="F634" s="63"/>
      <c r="G634" s="186"/>
      <c r="I634" s="103"/>
      <c r="J634" s="103"/>
      <c r="K634" s="103"/>
    </row>
    <row r="635" spans="1:13">
      <c r="A635" s="44"/>
      <c r="B635" s="22" t="s">
        <v>361</v>
      </c>
      <c r="C635" s="22"/>
      <c r="D635" s="103"/>
      <c r="E635" s="19"/>
      <c r="F635" s="63"/>
      <c r="G635" s="186"/>
      <c r="I635" s="103"/>
      <c r="J635" s="103"/>
      <c r="K635" s="103"/>
    </row>
    <row r="636" spans="1:13" ht="51">
      <c r="A636" s="44"/>
      <c r="B636" s="23" t="s">
        <v>1069</v>
      </c>
      <c r="C636" s="22"/>
      <c r="D636" s="103">
        <f>2.77*(42.3+15.6+2.33+2.59+1.58)*3-(2.85*2.4+1.62*2.4+1*2.1*7)*3+2.77*(4.5+2.35+2.68+3.96+1.1+2.2+2.25+4.05)*3</f>
        <v>650.75790000000006</v>
      </c>
      <c r="E636" s="19"/>
      <c r="F636" s="63"/>
      <c r="G636" s="186"/>
      <c r="H636" s="89"/>
      <c r="I636" s="103"/>
      <c r="J636" s="103"/>
      <c r="K636" s="103"/>
    </row>
    <row r="637" spans="1:13">
      <c r="A637" s="44"/>
      <c r="B637" s="21"/>
      <c r="C637" s="13"/>
      <c r="D637" s="21"/>
      <c r="E637" s="19"/>
      <c r="F637" s="63"/>
      <c r="G637" s="186"/>
      <c r="H637" s="89"/>
      <c r="I637" s="103"/>
      <c r="J637" s="103"/>
      <c r="K637" s="103"/>
    </row>
    <row r="638" spans="1:13">
      <c r="A638" s="44"/>
      <c r="B638" s="22" t="s">
        <v>406</v>
      </c>
      <c r="C638" s="13" t="s">
        <v>38</v>
      </c>
      <c r="D638" s="78">
        <f>SUM(D630:D636)</f>
        <v>1078.3328000000001</v>
      </c>
      <c r="E638" s="10"/>
      <c r="F638" s="30">
        <f>E638*D638</f>
        <v>0</v>
      </c>
      <c r="G638" s="193"/>
      <c r="I638" s="103"/>
      <c r="J638" s="103"/>
      <c r="K638" s="103"/>
    </row>
    <row r="639" spans="1:13" ht="13.5" thickBot="1">
      <c r="A639" s="44"/>
      <c r="B639" s="23"/>
      <c r="C639" s="22"/>
      <c r="D639" s="22"/>
      <c r="E639" s="22"/>
      <c r="F639" s="63"/>
      <c r="G639" s="186"/>
      <c r="I639" s="103"/>
      <c r="J639" s="103"/>
      <c r="K639" s="103"/>
    </row>
    <row r="640" spans="1:13" s="1" customFormat="1" ht="15.95" customHeight="1" thickBot="1">
      <c r="A640" s="51" t="str">
        <f>A287</f>
        <v>4.</v>
      </c>
      <c r="B640" s="53" t="s">
        <v>56</v>
      </c>
      <c r="C640" s="54"/>
      <c r="D640" s="54"/>
      <c r="E640" s="55"/>
      <c r="F640" s="52">
        <f>SUM(F294:F639)</f>
        <v>0</v>
      </c>
      <c r="G640" s="396"/>
      <c r="H640" s="299"/>
      <c r="I640" s="305"/>
      <c r="J640" s="398"/>
      <c r="K640" s="398"/>
      <c r="L640" s="2"/>
      <c r="M640" s="2"/>
    </row>
    <row r="641" spans="1:13" s="1" customFormat="1" ht="15.95" customHeight="1" thickBot="1">
      <c r="A641" s="50" t="s">
        <v>26</v>
      </c>
      <c r="B641" s="53" t="s">
        <v>55</v>
      </c>
      <c r="C641" s="54"/>
      <c r="D641" s="54"/>
      <c r="E641" s="70"/>
      <c r="F641" s="55"/>
      <c r="G641" s="399"/>
      <c r="H641" s="299"/>
      <c r="I641" s="305"/>
      <c r="J641" s="398"/>
      <c r="K641" s="398"/>
      <c r="L641" s="2"/>
      <c r="M641" s="2"/>
    </row>
    <row r="642" spans="1:13">
      <c r="A642" s="32"/>
      <c r="B642" s="22"/>
      <c r="C642" s="22"/>
      <c r="D642" s="22"/>
      <c r="E642" s="84"/>
      <c r="F642" s="63"/>
      <c r="G642" s="186"/>
      <c r="I642" s="305"/>
      <c r="J642" s="103"/>
      <c r="K642" s="103"/>
    </row>
    <row r="643" spans="1:13" ht="63.75">
      <c r="A643" s="76" t="s">
        <v>63</v>
      </c>
      <c r="B643" s="80" t="s">
        <v>417</v>
      </c>
      <c r="C643" s="24"/>
      <c r="D643" s="23"/>
      <c r="E643" s="14"/>
      <c r="F643" s="31"/>
      <c r="G643" s="186"/>
      <c r="H643" s="138"/>
      <c r="I643" s="305"/>
      <c r="J643" s="103"/>
      <c r="K643" s="103"/>
    </row>
    <row r="644" spans="1:13" ht="25.5">
      <c r="A644" s="32"/>
      <c r="B644" s="80" t="s">
        <v>418</v>
      </c>
      <c r="C644" s="24"/>
      <c r="D644" s="23"/>
      <c r="E644" s="14"/>
      <c r="F644" s="31"/>
      <c r="G644" s="186"/>
      <c r="H644" s="138"/>
      <c r="I644" s="305"/>
      <c r="J644" s="103"/>
      <c r="K644" s="103"/>
    </row>
    <row r="645" spans="1:13">
      <c r="A645" s="32"/>
      <c r="B645" s="134" t="s">
        <v>419</v>
      </c>
      <c r="C645" s="24"/>
      <c r="D645" s="23"/>
      <c r="E645" s="14"/>
      <c r="F645" s="31"/>
      <c r="G645" s="186"/>
      <c r="H645" s="138"/>
      <c r="I645" s="305"/>
      <c r="J645" s="103"/>
      <c r="K645" s="103"/>
    </row>
    <row r="646" spans="1:13">
      <c r="A646" s="32"/>
      <c r="B646" s="78" t="s">
        <v>770</v>
      </c>
      <c r="C646" s="24"/>
      <c r="D646" s="23"/>
      <c r="E646" s="14"/>
      <c r="F646" s="31"/>
      <c r="G646" s="186"/>
      <c r="H646" s="138"/>
      <c r="I646" s="305"/>
      <c r="J646" s="103"/>
      <c r="K646" s="103"/>
    </row>
    <row r="647" spans="1:13">
      <c r="A647" s="32"/>
      <c r="B647" s="78" t="s">
        <v>763</v>
      </c>
      <c r="C647" s="24"/>
      <c r="D647" s="23"/>
      <c r="E647" s="14"/>
      <c r="F647" s="31"/>
      <c r="G647" s="186"/>
      <c r="H647" s="138"/>
      <c r="I647" s="305"/>
      <c r="J647" s="103"/>
      <c r="K647" s="103"/>
    </row>
    <row r="648" spans="1:13">
      <c r="A648" s="32"/>
      <c r="B648" s="78" t="s">
        <v>420</v>
      </c>
      <c r="C648" s="24"/>
      <c r="D648" s="23"/>
      <c r="E648" s="14"/>
      <c r="F648" s="31"/>
      <c r="G648" s="186"/>
      <c r="H648" s="138"/>
      <c r="I648" s="305"/>
      <c r="J648" s="103"/>
      <c r="K648" s="103"/>
    </row>
    <row r="649" spans="1:13">
      <c r="A649" s="32"/>
      <c r="B649" s="78" t="s">
        <v>769</v>
      </c>
      <c r="C649" s="24"/>
      <c r="D649" s="23"/>
      <c r="E649" s="14"/>
      <c r="F649" s="31"/>
      <c r="G649" s="186"/>
      <c r="H649" s="138"/>
      <c r="I649" s="305"/>
      <c r="J649" s="103"/>
      <c r="K649" s="103"/>
    </row>
    <row r="650" spans="1:13">
      <c r="A650" s="32"/>
      <c r="B650" s="78" t="s">
        <v>421</v>
      </c>
      <c r="C650" s="24"/>
      <c r="D650" s="23"/>
      <c r="E650" s="14"/>
      <c r="F650" s="31"/>
      <c r="G650" s="186"/>
      <c r="H650" s="138"/>
      <c r="I650" s="305"/>
      <c r="J650" s="103"/>
      <c r="K650" s="103"/>
    </row>
    <row r="651" spans="1:13">
      <c r="A651" s="32"/>
      <c r="B651" s="78" t="s">
        <v>771</v>
      </c>
      <c r="C651" s="24"/>
      <c r="D651" s="23"/>
      <c r="E651" s="14"/>
      <c r="F651" s="31"/>
      <c r="G651" s="186"/>
      <c r="H651" s="138"/>
      <c r="I651" s="305"/>
      <c r="J651" s="103"/>
      <c r="K651" s="103"/>
    </row>
    <row r="652" spans="1:13" ht="51">
      <c r="A652" s="32"/>
      <c r="B652" s="80" t="s">
        <v>422</v>
      </c>
      <c r="C652" s="24"/>
      <c r="D652" s="23"/>
      <c r="E652" s="14"/>
      <c r="F652" s="31"/>
      <c r="G652" s="186"/>
      <c r="H652" s="138"/>
      <c r="I652" s="305"/>
      <c r="J652" s="103"/>
      <c r="K652" s="103"/>
    </row>
    <row r="653" spans="1:13" ht="51">
      <c r="A653" s="32"/>
      <c r="B653" s="80" t="s">
        <v>423</v>
      </c>
      <c r="C653" s="24"/>
      <c r="D653" s="23"/>
      <c r="E653" s="14"/>
      <c r="F653" s="31"/>
      <c r="G653" s="186"/>
      <c r="H653" s="138"/>
      <c r="I653" s="305"/>
      <c r="J653" s="103"/>
      <c r="K653" s="103"/>
    </row>
    <row r="654" spans="1:13" ht="38.25">
      <c r="A654" s="32"/>
      <c r="B654" s="80" t="s">
        <v>175</v>
      </c>
      <c r="C654" s="81" t="s">
        <v>38</v>
      </c>
      <c r="D654" s="14">
        <v>463</v>
      </c>
      <c r="E654" s="14"/>
      <c r="F654" s="31">
        <f>E654*D654</f>
        <v>0</v>
      </c>
      <c r="G654" s="193"/>
      <c r="H654" s="138"/>
      <c r="I654" s="305"/>
      <c r="J654" s="103"/>
      <c r="K654" s="103"/>
    </row>
    <row r="655" spans="1:13">
      <c r="A655" s="32"/>
      <c r="B655" s="22"/>
      <c r="C655" s="22"/>
      <c r="D655" s="22"/>
      <c r="E655" s="22"/>
      <c r="F655" s="63"/>
      <c r="G655" s="186"/>
      <c r="I655" s="305"/>
      <c r="J655" s="103"/>
      <c r="K655" s="103"/>
    </row>
    <row r="656" spans="1:13" ht="38.25">
      <c r="A656" s="76" t="s">
        <v>146</v>
      </c>
      <c r="B656" s="80" t="s">
        <v>425</v>
      </c>
      <c r="C656" s="22"/>
      <c r="D656" s="22"/>
      <c r="E656" s="19"/>
      <c r="F656" s="63"/>
      <c r="G656" s="186"/>
      <c r="I656" s="305"/>
      <c r="J656" s="103"/>
      <c r="K656" s="103"/>
    </row>
    <row r="657" spans="1:11" ht="38.25">
      <c r="A657" s="32"/>
      <c r="B657" s="80" t="s">
        <v>426</v>
      </c>
      <c r="C657" s="22"/>
      <c r="D657" s="22"/>
      <c r="E657" s="19"/>
      <c r="F657" s="63"/>
      <c r="G657" s="186"/>
      <c r="I657" s="305"/>
      <c r="J657" s="103"/>
      <c r="K657" s="103"/>
    </row>
    <row r="658" spans="1:11" ht="38.25">
      <c r="A658" s="32"/>
      <c r="B658" s="22" t="s">
        <v>427</v>
      </c>
      <c r="C658" s="22"/>
      <c r="D658" s="22"/>
      <c r="E658" s="19"/>
      <c r="F658" s="63"/>
      <c r="G658" s="186"/>
      <c r="I658" s="305"/>
      <c r="J658" s="103"/>
      <c r="K658" s="103"/>
    </row>
    <row r="659" spans="1:11" ht="51">
      <c r="A659" s="32"/>
      <c r="B659" s="80" t="s">
        <v>422</v>
      </c>
      <c r="C659" s="22"/>
      <c r="D659" s="22"/>
      <c r="E659" s="19"/>
      <c r="F659" s="63"/>
      <c r="G659" s="186"/>
      <c r="I659" s="305"/>
      <c r="J659" s="103"/>
      <c r="K659" s="103"/>
    </row>
    <row r="660" spans="1:11" ht="38.25">
      <c r="A660" s="32"/>
      <c r="B660" s="80" t="s">
        <v>428</v>
      </c>
      <c r="C660" s="22"/>
      <c r="D660" s="22"/>
      <c r="E660" s="19"/>
      <c r="F660" s="63"/>
      <c r="G660" s="186"/>
      <c r="I660" s="305"/>
      <c r="J660" s="103"/>
      <c r="K660" s="103"/>
    </row>
    <row r="661" spans="1:11" ht="38.25">
      <c r="A661" s="198"/>
      <c r="B661" s="203" t="s">
        <v>424</v>
      </c>
      <c r="C661" s="208" t="s">
        <v>38</v>
      </c>
      <c r="D661" s="304">
        <v>4.9000000000000004</v>
      </c>
      <c r="E661" s="304"/>
      <c r="F661" s="211">
        <f>E661*D661</f>
        <v>0</v>
      </c>
      <c r="G661" s="193"/>
      <c r="I661" s="305"/>
      <c r="J661" s="103"/>
      <c r="K661" s="103"/>
    </row>
    <row r="662" spans="1:11">
      <c r="A662" s="32"/>
      <c r="B662" s="22"/>
      <c r="C662" s="22"/>
      <c r="D662" s="22"/>
      <c r="E662" s="19"/>
      <c r="F662" s="63"/>
      <c r="G662" s="186"/>
      <c r="I662" s="305"/>
      <c r="J662" s="103"/>
      <c r="K662" s="103"/>
    </row>
    <row r="663" spans="1:11" ht="76.5">
      <c r="A663" s="76" t="s">
        <v>115</v>
      </c>
      <c r="B663" s="33" t="s">
        <v>958</v>
      </c>
      <c r="C663" s="22"/>
      <c r="D663" s="22"/>
      <c r="E663" s="19"/>
      <c r="F663" s="63"/>
      <c r="G663" s="186"/>
      <c r="I663" s="305"/>
      <c r="J663" s="103"/>
      <c r="K663" s="103"/>
    </row>
    <row r="664" spans="1:11" ht="63.75">
      <c r="A664" s="32"/>
      <c r="B664" s="33" t="s">
        <v>429</v>
      </c>
      <c r="C664" s="22"/>
      <c r="D664" s="22"/>
      <c r="E664" s="19"/>
      <c r="F664" s="63"/>
      <c r="G664" s="186"/>
      <c r="I664" s="305"/>
      <c r="J664" s="103"/>
      <c r="K664" s="103"/>
    </row>
    <row r="665" spans="1:11" ht="38.25">
      <c r="A665" s="32"/>
      <c r="B665" s="33" t="s">
        <v>430</v>
      </c>
      <c r="C665" s="81"/>
      <c r="D665" s="14"/>
      <c r="E665" s="19"/>
      <c r="F665" s="31">
        <f>E665*D665</f>
        <v>0</v>
      </c>
      <c r="G665" s="186"/>
      <c r="I665" s="305"/>
      <c r="J665" s="103"/>
      <c r="K665" s="103"/>
    </row>
    <row r="666" spans="1:11">
      <c r="A666" s="32"/>
      <c r="B666" s="33"/>
      <c r="C666" s="24"/>
      <c r="D666" s="23"/>
      <c r="E666" s="14"/>
      <c r="F666" s="31"/>
      <c r="G666" s="186"/>
      <c r="H666" s="138"/>
      <c r="I666" s="305"/>
      <c r="J666" s="103"/>
      <c r="K666" s="103"/>
    </row>
    <row r="667" spans="1:11">
      <c r="A667" s="32"/>
      <c r="B667" s="140" t="s">
        <v>954</v>
      </c>
      <c r="C667" s="81" t="s">
        <v>38</v>
      </c>
      <c r="D667" s="14">
        <f>494.59+4.2+2.88</f>
        <v>501.66999999999996</v>
      </c>
      <c r="E667" s="14"/>
      <c r="F667" s="31">
        <f>E667*D667</f>
        <v>0</v>
      </c>
      <c r="G667" s="193"/>
      <c r="H667" s="138"/>
      <c r="I667" s="305"/>
      <c r="J667" s="103"/>
      <c r="K667" s="103"/>
    </row>
    <row r="668" spans="1:11">
      <c r="A668" s="32"/>
      <c r="B668" s="172"/>
      <c r="C668" s="81"/>
      <c r="D668" s="14"/>
      <c r="E668" s="14"/>
      <c r="F668" s="31"/>
      <c r="G668" s="186"/>
      <c r="H668" s="138"/>
      <c r="I668" s="305"/>
      <c r="J668" s="103"/>
      <c r="K668" s="103"/>
    </row>
    <row r="669" spans="1:11" ht="38.25">
      <c r="A669" s="76" t="s">
        <v>603</v>
      </c>
      <c r="B669" s="33" t="s">
        <v>707</v>
      </c>
      <c r="C669" s="24"/>
      <c r="D669" s="23"/>
      <c r="E669" s="14"/>
      <c r="F669" s="31"/>
      <c r="G669" s="186"/>
      <c r="H669" s="138"/>
      <c r="I669" s="305"/>
      <c r="J669" s="103"/>
      <c r="K669" s="103"/>
    </row>
    <row r="670" spans="1:11" ht="63.75">
      <c r="A670" s="32"/>
      <c r="B670" s="33" t="s">
        <v>708</v>
      </c>
      <c r="C670" s="24"/>
      <c r="D670" s="23"/>
      <c r="E670" s="14"/>
      <c r="F670" s="31"/>
      <c r="G670" s="186"/>
      <c r="H670" s="138"/>
      <c r="I670" s="305"/>
      <c r="J670" s="103"/>
      <c r="K670" s="103"/>
    </row>
    <row r="671" spans="1:11" ht="38.25">
      <c r="A671" s="32"/>
      <c r="B671" s="33" t="s">
        <v>709</v>
      </c>
      <c r="C671" s="24"/>
      <c r="D671" s="23"/>
      <c r="E671" s="14"/>
      <c r="F671" s="31"/>
      <c r="G671" s="186"/>
      <c r="H671" s="138"/>
      <c r="I671" s="305"/>
      <c r="J671" s="103"/>
      <c r="K671" s="103"/>
    </row>
    <row r="672" spans="1:11" ht="25.5">
      <c r="A672" s="32"/>
      <c r="B672" s="33" t="s">
        <v>710</v>
      </c>
      <c r="C672" s="24"/>
      <c r="D672" s="23"/>
      <c r="E672" s="14"/>
      <c r="F672" s="31"/>
      <c r="G672" s="186"/>
      <c r="H672" s="138"/>
      <c r="I672" s="305"/>
      <c r="J672" s="103"/>
      <c r="K672" s="103"/>
    </row>
    <row r="673" spans="1:13">
      <c r="A673" s="32"/>
      <c r="B673" s="33"/>
      <c r="C673" s="24"/>
      <c r="D673" s="23"/>
      <c r="E673" s="14"/>
      <c r="F673" s="31"/>
      <c r="G673" s="186"/>
      <c r="H673" s="138"/>
      <c r="I673" s="305"/>
      <c r="J673" s="103"/>
      <c r="K673" s="103"/>
    </row>
    <row r="674" spans="1:13" ht="25.5">
      <c r="A674" s="32"/>
      <c r="B674" s="23" t="s">
        <v>869</v>
      </c>
      <c r="C674" s="81" t="s">
        <v>38</v>
      </c>
      <c r="D674" s="15">
        <f>(0.2+0.2+0.32)*(15.96+13.91+9.2+10.85+17.7)</f>
        <v>48.686399999999999</v>
      </c>
      <c r="E674" s="14"/>
      <c r="F674" s="31">
        <f>E674*D674</f>
        <v>0</v>
      </c>
      <c r="G674" s="193"/>
      <c r="H674" s="138"/>
      <c r="I674" s="305"/>
      <c r="J674" s="103"/>
      <c r="K674" s="103"/>
    </row>
    <row r="675" spans="1:13" ht="13.5" thickBot="1">
      <c r="A675" s="32"/>
      <c r="B675" s="7"/>
      <c r="C675" s="81"/>
      <c r="D675" s="14"/>
      <c r="E675" s="14"/>
      <c r="F675" s="31"/>
      <c r="G675" s="186"/>
      <c r="H675" s="138"/>
      <c r="I675" s="305"/>
      <c r="J675" s="103"/>
      <c r="K675" s="103"/>
    </row>
    <row r="676" spans="1:13" s="1" customFormat="1" ht="15.95" customHeight="1" thickBot="1">
      <c r="A676" s="57" t="str">
        <f>A641</f>
        <v>5.</v>
      </c>
      <c r="B676" s="58" t="s">
        <v>57</v>
      </c>
      <c r="C676" s="59"/>
      <c r="D676" s="60"/>
      <c r="E676" s="61"/>
      <c r="F676" s="52">
        <f>SUM(F643:F675)</f>
        <v>0</v>
      </c>
      <c r="G676" s="396"/>
      <c r="H676" s="313"/>
      <c r="I676" s="397"/>
      <c r="J676" s="398"/>
      <c r="K676" s="398"/>
      <c r="L676" s="2"/>
      <c r="M676" s="2"/>
    </row>
    <row r="677" spans="1:13" s="1" customFormat="1" ht="15.95" customHeight="1" thickBot="1">
      <c r="A677" s="62" t="s">
        <v>44</v>
      </c>
      <c r="B677" s="72" t="s">
        <v>97</v>
      </c>
      <c r="C677" s="73"/>
      <c r="D677" s="74"/>
      <c r="E677" s="74"/>
      <c r="F677" s="75"/>
      <c r="G677" s="399"/>
      <c r="H677" s="313"/>
      <c r="I677" s="397"/>
      <c r="J677" s="398"/>
      <c r="K677" s="398"/>
      <c r="L677" s="2"/>
      <c r="M677" s="2"/>
    </row>
    <row r="678" spans="1:13">
      <c r="A678" s="32"/>
      <c r="B678" s="22"/>
      <c r="C678" s="22"/>
      <c r="D678" s="22"/>
      <c r="E678" s="84"/>
      <c r="F678" s="63"/>
      <c r="G678" s="186"/>
      <c r="I678" s="103"/>
      <c r="J678" s="103"/>
      <c r="K678" s="103"/>
    </row>
    <row r="679" spans="1:13" ht="38.25">
      <c r="A679" s="76" t="s">
        <v>64</v>
      </c>
      <c r="B679" s="314" t="s">
        <v>764</v>
      </c>
      <c r="C679" s="22"/>
      <c r="D679" s="22"/>
      <c r="E679" s="22"/>
      <c r="F679" s="63"/>
      <c r="G679" s="186"/>
      <c r="I679" s="103"/>
      <c r="J679" s="103"/>
      <c r="K679" s="103"/>
    </row>
    <row r="680" spans="1:13" ht="25.5">
      <c r="A680" s="76"/>
      <c r="B680" s="149" t="s">
        <v>431</v>
      </c>
      <c r="C680" s="22"/>
      <c r="D680" s="22"/>
      <c r="E680" s="22"/>
      <c r="F680" s="63"/>
      <c r="G680" s="186"/>
      <c r="I680" s="103"/>
      <c r="J680" s="103"/>
      <c r="K680" s="103"/>
    </row>
    <row r="681" spans="1:13" ht="51">
      <c r="A681" s="76"/>
      <c r="B681" s="232" t="s">
        <v>537</v>
      </c>
      <c r="C681" s="22"/>
      <c r="D681" s="22"/>
      <c r="E681" s="22"/>
      <c r="F681" s="63"/>
      <c r="G681" s="186"/>
      <c r="I681" s="103"/>
      <c r="J681" s="103"/>
      <c r="K681" s="103"/>
    </row>
    <row r="682" spans="1:13" ht="51">
      <c r="A682" s="76"/>
      <c r="B682" s="232" t="s">
        <v>538</v>
      </c>
      <c r="C682" s="22"/>
      <c r="D682" s="22"/>
      <c r="E682" s="22"/>
      <c r="F682" s="63"/>
      <c r="G682" s="186"/>
      <c r="I682" s="103"/>
      <c r="J682" s="103"/>
      <c r="K682" s="103"/>
    </row>
    <row r="683" spans="1:13" ht="63.75">
      <c r="A683" s="76"/>
      <c r="B683" s="315" t="s">
        <v>539</v>
      </c>
      <c r="C683" s="22"/>
      <c r="D683" s="22"/>
      <c r="E683" s="22"/>
      <c r="F683" s="63"/>
      <c r="G683" s="186"/>
      <c r="I683" s="103"/>
      <c r="J683" s="103"/>
      <c r="K683" s="103"/>
    </row>
    <row r="684" spans="1:13" ht="25.5">
      <c r="A684" s="76"/>
      <c r="B684" s="315" t="s">
        <v>540</v>
      </c>
      <c r="C684" s="22"/>
      <c r="D684" s="22"/>
      <c r="E684" s="22"/>
      <c r="F684" s="63"/>
      <c r="G684" s="186"/>
      <c r="I684" s="103"/>
      <c r="J684" s="103"/>
      <c r="K684" s="103"/>
    </row>
    <row r="685" spans="1:13" ht="25.5">
      <c r="A685" s="76"/>
      <c r="B685" s="34" t="s">
        <v>291</v>
      </c>
      <c r="C685" s="22"/>
      <c r="D685" s="22"/>
      <c r="E685" s="22"/>
      <c r="F685" s="63"/>
      <c r="G685" s="186"/>
      <c r="I685" s="103"/>
      <c r="J685" s="103"/>
      <c r="K685" s="103"/>
    </row>
    <row r="686" spans="1:13">
      <c r="A686" s="76"/>
      <c r="B686" s="34"/>
      <c r="C686" s="22"/>
      <c r="D686" s="22"/>
      <c r="E686" s="22"/>
      <c r="F686" s="63"/>
      <c r="G686" s="186"/>
      <c r="I686" s="103"/>
      <c r="J686" s="103"/>
      <c r="K686" s="103"/>
    </row>
    <row r="687" spans="1:13">
      <c r="A687" s="32"/>
      <c r="B687" s="22" t="s">
        <v>1058</v>
      </c>
      <c r="C687" s="22"/>
      <c r="D687" s="22"/>
      <c r="E687" s="22"/>
      <c r="F687" s="63"/>
      <c r="G687" s="186"/>
      <c r="H687" s="105"/>
      <c r="I687" s="103"/>
      <c r="J687" s="103"/>
      <c r="K687" s="103"/>
    </row>
    <row r="688" spans="1:13">
      <c r="A688" s="108"/>
      <c r="B688" s="78" t="s">
        <v>1057</v>
      </c>
      <c r="C688" s="13" t="s">
        <v>38</v>
      </c>
      <c r="D688" s="80">
        <f>33.11+11.97</f>
        <v>45.08</v>
      </c>
      <c r="E688" s="16"/>
      <c r="F688" s="30">
        <f>D688*E688</f>
        <v>0</v>
      </c>
      <c r="G688" s="193"/>
      <c r="H688" s="105"/>
      <c r="I688" s="103"/>
      <c r="J688" s="103"/>
      <c r="K688" s="103"/>
    </row>
    <row r="689" spans="1:11">
      <c r="A689" s="108"/>
      <c r="B689" s="78"/>
      <c r="C689" s="13"/>
      <c r="D689" s="80"/>
      <c r="E689" s="16"/>
      <c r="F689" s="30"/>
      <c r="G689" s="186"/>
      <c r="H689" s="8"/>
      <c r="I689" s="103"/>
      <c r="J689" s="103"/>
      <c r="K689" s="103"/>
    </row>
    <row r="690" spans="1:11" ht="76.5">
      <c r="A690" s="135" t="s">
        <v>65</v>
      </c>
      <c r="B690" s="391" t="s">
        <v>1134</v>
      </c>
      <c r="C690" s="13"/>
      <c r="D690" s="80"/>
      <c r="E690" s="16"/>
      <c r="F690" s="30"/>
      <c r="G690" s="186"/>
      <c r="H690" s="8"/>
      <c r="I690" s="103"/>
      <c r="J690" s="103"/>
      <c r="K690" s="103"/>
    </row>
    <row r="691" spans="1:11" ht="38.25">
      <c r="A691" s="135"/>
      <c r="B691" s="391" t="s">
        <v>1135</v>
      </c>
      <c r="C691" s="13"/>
      <c r="D691" s="80"/>
      <c r="E691" s="16"/>
      <c r="F691" s="30"/>
      <c r="G691" s="186"/>
      <c r="H691" s="8"/>
      <c r="I691" s="103"/>
      <c r="J691" s="103"/>
      <c r="K691" s="103"/>
    </row>
    <row r="692" spans="1:11" ht="63.75">
      <c r="A692" s="216"/>
      <c r="B692" s="217" t="s">
        <v>1254</v>
      </c>
      <c r="C692" s="221"/>
      <c r="D692" s="203"/>
      <c r="E692" s="207"/>
      <c r="F692" s="212"/>
      <c r="G692" s="186"/>
      <c r="H692" s="8"/>
      <c r="I692" s="103"/>
      <c r="J692" s="103"/>
      <c r="K692" s="103"/>
    </row>
    <row r="693" spans="1:11">
      <c r="A693" s="135"/>
      <c r="B693" s="187"/>
      <c r="C693" s="13"/>
      <c r="D693" s="80"/>
      <c r="E693" s="16"/>
      <c r="F693" s="30"/>
      <c r="G693" s="186"/>
      <c r="H693" s="8"/>
      <c r="I693" s="103"/>
      <c r="J693" s="103"/>
      <c r="K693" s="103"/>
    </row>
    <row r="694" spans="1:11" ht="216.75">
      <c r="A694" s="135"/>
      <c r="B694" s="187" t="s">
        <v>1136</v>
      </c>
      <c r="C694" s="13"/>
      <c r="D694" s="80"/>
      <c r="E694" s="16"/>
      <c r="F694" s="30"/>
      <c r="G694" s="186"/>
      <c r="H694" s="8"/>
      <c r="I694" s="103"/>
      <c r="J694" s="103"/>
      <c r="K694" s="103"/>
    </row>
    <row r="695" spans="1:11" ht="102">
      <c r="A695" s="135"/>
      <c r="B695" s="229" t="s">
        <v>1137</v>
      </c>
      <c r="C695" s="13"/>
      <c r="D695" s="80"/>
      <c r="E695" s="16"/>
      <c r="F695" s="30"/>
      <c r="G695" s="186"/>
      <c r="H695" s="8"/>
      <c r="I695" s="103"/>
      <c r="J695" s="103"/>
      <c r="K695" s="103"/>
    </row>
    <row r="696" spans="1:11" ht="89.25">
      <c r="A696" s="135"/>
      <c r="B696" s="229" t="s">
        <v>1138</v>
      </c>
      <c r="C696" s="13"/>
      <c r="D696" s="80"/>
      <c r="E696" s="16"/>
      <c r="F696" s="30"/>
      <c r="G696" s="186"/>
      <c r="H696" s="8"/>
      <c r="I696" s="103"/>
      <c r="J696" s="103"/>
      <c r="K696" s="103"/>
    </row>
    <row r="697" spans="1:11" ht="153">
      <c r="A697" s="108"/>
      <c r="B697" s="187" t="s">
        <v>1139</v>
      </c>
      <c r="C697" s="13"/>
      <c r="D697" s="80"/>
      <c r="E697" s="16"/>
      <c r="F697" s="30"/>
      <c r="G697" s="186"/>
      <c r="H697" s="8"/>
      <c r="I697" s="103"/>
      <c r="J697" s="103"/>
      <c r="K697" s="103"/>
    </row>
    <row r="698" spans="1:11" ht="89.25">
      <c r="A698" s="218"/>
      <c r="B698" s="217" t="s">
        <v>1140</v>
      </c>
      <c r="C698" s="221"/>
      <c r="D698" s="203"/>
      <c r="E698" s="207"/>
      <c r="F698" s="212"/>
      <c r="G698" s="186"/>
      <c r="H698" s="8"/>
      <c r="I698" s="103"/>
      <c r="J698" s="103"/>
      <c r="K698" s="103"/>
    </row>
    <row r="699" spans="1:11">
      <c r="A699" s="108"/>
      <c r="B699" s="187"/>
      <c r="C699" s="13"/>
      <c r="D699" s="80"/>
      <c r="E699" s="16"/>
      <c r="F699" s="30"/>
      <c r="G699" s="186"/>
      <c r="H699" s="8"/>
      <c r="I699" s="103"/>
      <c r="J699" s="103"/>
      <c r="K699" s="103"/>
    </row>
    <row r="700" spans="1:11" ht="76.5">
      <c r="A700" s="108"/>
      <c r="B700" s="187" t="s">
        <v>1231</v>
      </c>
      <c r="C700" s="13"/>
      <c r="D700" s="80"/>
      <c r="E700" s="16"/>
      <c r="F700" s="30"/>
      <c r="G700" s="186"/>
      <c r="H700" s="8"/>
      <c r="I700" s="103"/>
      <c r="J700" s="103"/>
      <c r="K700" s="103"/>
    </row>
    <row r="701" spans="1:11" ht="89.25">
      <c r="A701" s="108"/>
      <c r="B701" s="232" t="s">
        <v>1232</v>
      </c>
      <c r="C701" s="13"/>
      <c r="D701" s="80"/>
      <c r="E701" s="16"/>
      <c r="F701" s="30"/>
      <c r="G701" s="186"/>
      <c r="H701" s="8"/>
      <c r="I701" s="103"/>
      <c r="J701" s="103"/>
      <c r="K701" s="103"/>
    </row>
    <row r="702" spans="1:11" ht="25.5">
      <c r="A702" s="108"/>
      <c r="B702" s="315" t="s">
        <v>1233</v>
      </c>
      <c r="C702" s="13"/>
      <c r="D702" s="80"/>
      <c r="E702" s="16"/>
      <c r="F702" s="30"/>
      <c r="G702" s="186"/>
      <c r="H702" s="8"/>
      <c r="I702" s="103"/>
      <c r="J702" s="103"/>
      <c r="K702" s="103"/>
    </row>
    <row r="703" spans="1:11" ht="25.5">
      <c r="A703" s="108"/>
      <c r="B703" s="34" t="s">
        <v>291</v>
      </c>
      <c r="C703" s="13"/>
      <c r="D703" s="80"/>
      <c r="E703" s="16"/>
      <c r="F703" s="30"/>
      <c r="G703" s="186"/>
      <c r="H703" s="8"/>
      <c r="I703" s="103"/>
      <c r="J703" s="103"/>
      <c r="K703" s="103"/>
    </row>
    <row r="704" spans="1:11">
      <c r="A704" s="108"/>
      <c r="B704" s="229"/>
      <c r="C704" s="174"/>
      <c r="D704" s="316"/>
      <c r="E704" s="317"/>
      <c r="F704" s="30"/>
      <c r="G704" s="186"/>
      <c r="H704" s="8"/>
      <c r="I704" s="103"/>
      <c r="J704" s="103"/>
      <c r="K704" s="103"/>
    </row>
    <row r="705" spans="1:11" ht="25.5">
      <c r="A705" s="108"/>
      <c r="B705" s="318" t="s">
        <v>1141</v>
      </c>
      <c r="C705" s="319"/>
      <c r="D705" s="316"/>
      <c r="E705" s="317"/>
      <c r="F705" s="30"/>
      <c r="G705" s="193"/>
      <c r="H705" s="8"/>
      <c r="I705" s="103"/>
      <c r="J705" s="103"/>
      <c r="K705" s="103"/>
    </row>
    <row r="706" spans="1:11" ht="25.5">
      <c r="A706" s="108"/>
      <c r="B706" s="320" t="s">
        <v>1142</v>
      </c>
      <c r="C706" s="174" t="s">
        <v>38</v>
      </c>
      <c r="D706" s="316">
        <f>25.41+28.73+23.66+25.62+29.75+78.44+35.33+22.21+115.36+19.3</f>
        <v>403.81</v>
      </c>
      <c r="E706" s="317"/>
      <c r="F706" s="30">
        <f>D706*E706</f>
        <v>0</v>
      </c>
      <c r="G706" s="193"/>
      <c r="H706" s="8"/>
      <c r="I706" s="103"/>
      <c r="J706" s="103"/>
      <c r="K706" s="103"/>
    </row>
    <row r="707" spans="1:11">
      <c r="A707" s="108"/>
      <c r="B707" s="103"/>
      <c r="C707" s="24"/>
      <c r="D707" s="80"/>
      <c r="E707" s="16"/>
      <c r="F707" s="30"/>
      <c r="G707" s="193"/>
      <c r="H707" s="8"/>
      <c r="I707" s="103"/>
      <c r="J707" s="103"/>
      <c r="K707" s="103"/>
    </row>
    <row r="708" spans="1:11" ht="38.25">
      <c r="A708" s="76" t="s">
        <v>1</v>
      </c>
      <c r="B708" s="419" t="s">
        <v>1299</v>
      </c>
      <c r="C708" s="22"/>
      <c r="D708" s="22"/>
      <c r="E708" s="22"/>
      <c r="F708" s="63"/>
      <c r="G708" s="186"/>
      <c r="I708" s="103"/>
      <c r="J708" s="103"/>
      <c r="K708" s="103"/>
    </row>
    <row r="709" spans="1:11" ht="25.5">
      <c r="A709" s="76"/>
      <c r="B709" s="419" t="s">
        <v>1292</v>
      </c>
      <c r="C709" s="22"/>
      <c r="D709" s="22"/>
      <c r="E709" s="22"/>
      <c r="F709" s="63"/>
      <c r="G709" s="186"/>
      <c r="I709" s="103"/>
      <c r="J709" s="103"/>
      <c r="K709" s="103"/>
    </row>
    <row r="710" spans="1:11" ht="76.5">
      <c r="A710" s="76"/>
      <c r="B710" s="420" t="s">
        <v>1293</v>
      </c>
      <c r="C710" s="22"/>
      <c r="D710" s="22"/>
      <c r="E710" s="22"/>
      <c r="F710" s="63"/>
      <c r="G710" s="186"/>
      <c r="I710" s="103"/>
      <c r="J710" s="103"/>
      <c r="K710" s="103"/>
    </row>
    <row r="711" spans="1:11" ht="51">
      <c r="A711" s="76"/>
      <c r="B711" s="420" t="s">
        <v>1294</v>
      </c>
      <c r="C711" s="22"/>
      <c r="D711" s="22"/>
      <c r="E711" s="22"/>
      <c r="F711" s="63"/>
      <c r="G711" s="186"/>
      <c r="I711" s="103"/>
      <c r="J711" s="103"/>
      <c r="K711" s="103"/>
    </row>
    <row r="712" spans="1:11" ht="89.25">
      <c r="A712" s="76"/>
      <c r="B712" s="420" t="s">
        <v>1295</v>
      </c>
      <c r="C712" s="22"/>
      <c r="D712" s="22"/>
      <c r="E712" s="22"/>
      <c r="F712" s="63"/>
      <c r="G712" s="186"/>
      <c r="I712" s="103"/>
      <c r="J712" s="103"/>
      <c r="K712" s="103"/>
    </row>
    <row r="713" spans="1:11" ht="51">
      <c r="A713" s="76"/>
      <c r="B713" s="420" t="s">
        <v>432</v>
      </c>
      <c r="C713" s="22"/>
      <c r="D713" s="22"/>
      <c r="E713" s="22"/>
      <c r="F713" s="63"/>
      <c r="G713" s="186"/>
      <c r="I713" s="103"/>
      <c r="J713" s="103"/>
      <c r="K713" s="103"/>
    </row>
    <row r="714" spans="1:11" ht="25.5">
      <c r="A714" s="204"/>
      <c r="B714" s="421" t="s">
        <v>291</v>
      </c>
      <c r="C714" s="196"/>
      <c r="D714" s="196"/>
      <c r="E714" s="196"/>
      <c r="F714" s="197"/>
      <c r="G714" s="186"/>
      <c r="I714" s="103"/>
      <c r="J714" s="103"/>
      <c r="K714" s="103"/>
    </row>
    <row r="715" spans="1:11" ht="178.5">
      <c r="A715" s="76"/>
      <c r="B715" s="422" t="s">
        <v>1296</v>
      </c>
      <c r="C715" s="22"/>
      <c r="D715" s="22"/>
      <c r="E715" s="22"/>
      <c r="F715" s="63"/>
      <c r="G715" s="186"/>
      <c r="I715" s="103"/>
      <c r="J715" s="103"/>
      <c r="K715" s="103"/>
    </row>
    <row r="716" spans="1:11" ht="25.5">
      <c r="A716" s="161" t="s">
        <v>1255</v>
      </c>
      <c r="B716" s="7" t="s">
        <v>1297</v>
      </c>
      <c r="C716" s="22"/>
      <c r="D716" s="22"/>
      <c r="E716" s="22"/>
      <c r="F716" s="63"/>
      <c r="G716" s="186"/>
      <c r="I716" s="103"/>
      <c r="J716" s="103"/>
      <c r="K716" s="103"/>
    </row>
    <row r="717" spans="1:11">
      <c r="A717" s="76"/>
      <c r="B717" s="22" t="s">
        <v>27</v>
      </c>
      <c r="C717" s="22"/>
      <c r="D717" s="22"/>
      <c r="E717" s="22"/>
      <c r="F717" s="63"/>
      <c r="G717" s="186"/>
      <c r="I717" s="103"/>
      <c r="J717" s="103"/>
      <c r="K717" s="103"/>
    </row>
    <row r="718" spans="1:11" ht="51">
      <c r="A718" s="76"/>
      <c r="B718" s="23" t="s">
        <v>1184</v>
      </c>
      <c r="C718" s="22"/>
      <c r="D718" s="80">
        <f>4.27+1.59+4.61+1.73+4.3+3.96+4.33+1.59+4.67+2.69+0.2*(8.75+5.18+8.6+5.64+8.73+8.17+8.61+5.18+8.79+6.48)+1.8*(0.8*2*6+1.65*6)</f>
        <v>83.665999999999997</v>
      </c>
      <c r="E718" s="22"/>
      <c r="F718" s="63"/>
      <c r="G718" s="186"/>
      <c r="I718" s="103"/>
      <c r="J718" s="103"/>
      <c r="K718" s="103"/>
    </row>
    <row r="719" spans="1:11">
      <c r="A719" s="76"/>
      <c r="B719" s="22" t="s">
        <v>360</v>
      </c>
      <c r="C719" s="22"/>
      <c r="D719" s="22"/>
      <c r="E719" s="22"/>
      <c r="F719" s="63"/>
      <c r="G719" s="186"/>
      <c r="I719" s="103"/>
      <c r="J719" s="103"/>
      <c r="K719" s="103"/>
    </row>
    <row r="720" spans="1:11" ht="51">
      <c r="A720" s="76"/>
      <c r="B720" s="23" t="s">
        <v>1189</v>
      </c>
      <c r="C720" s="22"/>
      <c r="D720" s="80">
        <f>4.27+1.59+3.92+3.97+4.3+3.96+4.33+1.59+4.67+0.2*(8.75+5.18+8.12+8.4+8.73+8.17+8.61+5.18+8.79)+1.8*(0.8*2*7+1.65*7)</f>
        <v>87.536000000000001</v>
      </c>
      <c r="E720" s="22"/>
      <c r="F720" s="63"/>
      <c r="G720" s="186"/>
      <c r="I720" s="103"/>
      <c r="J720" s="103"/>
      <c r="K720" s="103"/>
    </row>
    <row r="721" spans="1:14">
      <c r="A721" s="76"/>
      <c r="B721" s="22" t="s">
        <v>361</v>
      </c>
      <c r="C721" s="22"/>
      <c r="D721" s="22"/>
      <c r="E721" s="22"/>
      <c r="F721" s="63"/>
      <c r="G721" s="186"/>
      <c r="I721" s="103"/>
      <c r="J721" s="103"/>
      <c r="K721" s="103"/>
    </row>
    <row r="722" spans="1:14" ht="51">
      <c r="A722" s="76"/>
      <c r="B722" s="23" t="s">
        <v>1190</v>
      </c>
      <c r="C722" s="22"/>
      <c r="D722" s="80">
        <f>(4.27+1.59+3.92+3.97+4.3+3.96+4.33+1.59+4.67+0.2*(8.75+5.18+8.12+8.4+8.73+8.17+8.61+5.18+8.79)+1.8*(0.8*2*7+1.65*7))*3</f>
        <v>262.608</v>
      </c>
      <c r="E722" s="22"/>
      <c r="F722" s="63"/>
      <c r="G722" s="186"/>
      <c r="I722" s="103"/>
      <c r="J722" s="103"/>
      <c r="K722" s="103"/>
    </row>
    <row r="723" spans="1:14">
      <c r="A723" s="32"/>
      <c r="B723" s="22" t="s">
        <v>193</v>
      </c>
      <c r="C723" s="13" t="s">
        <v>38</v>
      </c>
      <c r="D723" s="78">
        <f>SUM(D718:D722)</f>
        <v>433.81</v>
      </c>
      <c r="E723" s="27"/>
      <c r="F723" s="30">
        <f>D723*E723</f>
        <v>0</v>
      </c>
      <c r="G723" s="193"/>
      <c r="H723" s="124"/>
      <c r="I723" s="103"/>
      <c r="J723" s="103"/>
      <c r="K723" s="103"/>
    </row>
    <row r="724" spans="1:14">
      <c r="A724" s="161" t="s">
        <v>150</v>
      </c>
      <c r="B724" s="112" t="s">
        <v>1298</v>
      </c>
      <c r="C724" s="22"/>
      <c r="D724" s="22"/>
      <c r="E724" s="22"/>
      <c r="F724" s="63"/>
      <c r="G724" s="186"/>
      <c r="I724" s="103"/>
      <c r="J724" s="103"/>
      <c r="K724" s="103"/>
    </row>
    <row r="725" spans="1:14">
      <c r="A725" s="76"/>
      <c r="B725" s="22" t="s">
        <v>27</v>
      </c>
      <c r="C725" s="22"/>
      <c r="D725" s="22"/>
      <c r="E725" s="22"/>
      <c r="F725" s="63"/>
      <c r="G725" s="186"/>
      <c r="I725" s="103"/>
      <c r="J725" s="103"/>
      <c r="K725" s="103"/>
    </row>
    <row r="726" spans="1:14" ht="25.5">
      <c r="A726" s="76"/>
      <c r="B726" s="23" t="s">
        <v>872</v>
      </c>
      <c r="C726" s="22"/>
      <c r="D726" s="22">
        <f>4.68+3.78*3+4.45+3.37+0.3*(9.12+8.3*3+8.72+7.7)</f>
        <v>38.972000000000001</v>
      </c>
      <c r="E726" s="22"/>
      <c r="F726" s="63"/>
      <c r="G726" s="186"/>
      <c r="I726" s="103"/>
      <c r="J726" s="103"/>
      <c r="K726" s="103"/>
    </row>
    <row r="727" spans="1:14">
      <c r="A727" s="76"/>
      <c r="B727" s="22" t="s">
        <v>360</v>
      </c>
      <c r="C727" s="22"/>
      <c r="D727" s="22"/>
      <c r="E727" s="22"/>
      <c r="F727" s="63"/>
      <c r="G727" s="186"/>
      <c r="I727" s="103"/>
      <c r="J727" s="103"/>
      <c r="K727" s="103"/>
    </row>
    <row r="728" spans="1:14" ht="25.5">
      <c r="A728" s="76"/>
      <c r="B728" s="23" t="s">
        <v>870</v>
      </c>
      <c r="C728" s="22"/>
      <c r="D728" s="22">
        <f>4.68+3.78*4+4.45+3.37+0.3*(9.12+8.3*4+8.72+7.7)</f>
        <v>45.241999999999997</v>
      </c>
      <c r="E728" s="22"/>
      <c r="F728" s="63"/>
      <c r="G728" s="186"/>
      <c r="I728" s="103"/>
      <c r="J728" s="103"/>
      <c r="K728" s="103"/>
    </row>
    <row r="729" spans="1:14">
      <c r="A729" s="76"/>
      <c r="B729" s="22"/>
      <c r="C729" s="22"/>
      <c r="D729" s="22"/>
      <c r="E729" s="22"/>
      <c r="F729" s="63"/>
      <c r="G729" s="186"/>
      <c r="I729" s="103"/>
      <c r="J729" s="103"/>
      <c r="K729" s="103"/>
    </row>
    <row r="730" spans="1:14">
      <c r="A730" s="76"/>
      <c r="B730" s="22" t="s">
        <v>361</v>
      </c>
      <c r="C730" s="22"/>
      <c r="D730" s="22"/>
      <c r="E730" s="22"/>
      <c r="F730" s="63"/>
      <c r="G730" s="186"/>
      <c r="I730" s="103"/>
      <c r="J730" s="103"/>
      <c r="K730" s="103"/>
    </row>
    <row r="731" spans="1:14" ht="25.5">
      <c r="A731" s="76"/>
      <c r="B731" s="23" t="s">
        <v>871</v>
      </c>
      <c r="C731" s="22"/>
      <c r="D731" s="22">
        <f>(4.68+3.78*4+4.45+3.37)*3+0.3*(9.12+8.3*4+8.72+7.7)*3</f>
        <v>135.726</v>
      </c>
      <c r="E731" s="22"/>
      <c r="F731" s="63"/>
      <c r="G731" s="186"/>
      <c r="I731" s="103"/>
      <c r="J731" s="103"/>
      <c r="K731" s="103"/>
    </row>
    <row r="732" spans="1:14">
      <c r="A732" s="76"/>
      <c r="B732" s="112"/>
      <c r="C732" s="22"/>
      <c r="D732" s="22"/>
      <c r="E732" s="22"/>
      <c r="F732" s="63"/>
      <c r="G732" s="186"/>
      <c r="I732" s="103"/>
      <c r="J732" s="103"/>
      <c r="K732" s="103"/>
    </row>
    <row r="733" spans="1:14">
      <c r="A733" s="76"/>
      <c r="B733" s="22" t="s">
        <v>119</v>
      </c>
      <c r="C733" s="13" t="s">
        <v>38</v>
      </c>
      <c r="D733" s="26">
        <f>SUM(D726:D731)</f>
        <v>219.94</v>
      </c>
      <c r="E733" s="27"/>
      <c r="F733" s="86">
        <f>+D733*E733</f>
        <v>0</v>
      </c>
      <c r="G733" s="193"/>
      <c r="H733" s="8"/>
      <c r="I733" s="103"/>
      <c r="J733" s="103"/>
      <c r="K733" s="103"/>
    </row>
    <row r="734" spans="1:14">
      <c r="A734" s="32"/>
      <c r="B734" s="12"/>
      <c r="C734" s="81"/>
      <c r="D734" s="26"/>
      <c r="E734" s="19"/>
      <c r="F734" s="31"/>
      <c r="G734" s="186"/>
      <c r="H734" s="132"/>
      <c r="I734" s="103"/>
      <c r="J734" s="103"/>
      <c r="K734" s="103"/>
    </row>
    <row r="735" spans="1:14" ht="63.75">
      <c r="A735" s="76" t="s">
        <v>2</v>
      </c>
      <c r="B735" s="225" t="s">
        <v>433</v>
      </c>
      <c r="C735" s="81"/>
      <c r="D735" s="26"/>
      <c r="E735" s="19"/>
      <c r="F735" s="31"/>
      <c r="G735" s="186"/>
      <c r="H735" s="132"/>
      <c r="I735" s="125"/>
      <c r="J735" s="127"/>
      <c r="K735" s="132"/>
      <c r="L735" s="138"/>
      <c r="M735" s="103"/>
      <c r="N735" s="103"/>
    </row>
    <row r="736" spans="1:14" ht="63.75">
      <c r="A736" s="204"/>
      <c r="B736" s="288" t="s">
        <v>434</v>
      </c>
      <c r="C736" s="208"/>
      <c r="D736" s="209"/>
      <c r="E736" s="210"/>
      <c r="F736" s="211"/>
      <c r="G736" s="186"/>
      <c r="H736" s="132"/>
      <c r="I736" s="125"/>
      <c r="J736" s="127"/>
      <c r="K736" s="132"/>
      <c r="L736" s="138"/>
      <c r="M736" s="103"/>
      <c r="N736" s="103"/>
    </row>
    <row r="737" spans="1:17">
      <c r="A737" s="76"/>
      <c r="B737" s="112"/>
      <c r="C737" s="81"/>
      <c r="D737" s="26"/>
      <c r="E737" s="19"/>
      <c r="F737" s="31"/>
      <c r="G737" s="186"/>
      <c r="H737" s="132"/>
      <c r="I737" s="125"/>
      <c r="J737" s="127"/>
      <c r="K737" s="132"/>
      <c r="L737" s="138"/>
      <c r="M737" s="103"/>
      <c r="N737" s="103"/>
    </row>
    <row r="738" spans="1:17" ht="76.5">
      <c r="A738" s="76"/>
      <c r="B738" s="232" t="s">
        <v>435</v>
      </c>
      <c r="C738" s="81"/>
      <c r="D738" s="26"/>
      <c r="E738" s="19"/>
      <c r="F738" s="31"/>
      <c r="G738" s="186"/>
      <c r="H738" s="132"/>
      <c r="I738" s="125"/>
      <c r="J738" s="127"/>
      <c r="K738" s="132"/>
      <c r="L738" s="138"/>
      <c r="M738" s="103"/>
      <c r="N738" s="103"/>
    </row>
    <row r="739" spans="1:17" ht="63.75">
      <c r="A739" s="76"/>
      <c r="B739" s="232" t="s">
        <v>436</v>
      </c>
      <c r="C739" s="81"/>
      <c r="D739" s="26"/>
      <c r="E739" s="19"/>
      <c r="F739" s="31"/>
      <c r="G739" s="186"/>
      <c r="H739" s="132"/>
      <c r="I739" s="125"/>
      <c r="J739" s="127"/>
      <c r="K739" s="132"/>
      <c r="L739" s="138"/>
      <c r="M739" s="103"/>
      <c r="N739" s="103"/>
    </row>
    <row r="740" spans="1:17" s="103" customFormat="1" ht="114.75">
      <c r="A740" s="76"/>
      <c r="B740" s="112" t="s">
        <v>437</v>
      </c>
      <c r="C740" s="81"/>
      <c r="D740" s="26"/>
      <c r="E740" s="19"/>
      <c r="F740" s="31"/>
      <c r="G740" s="186"/>
      <c r="H740" s="132"/>
      <c r="I740" s="125"/>
      <c r="J740" s="127"/>
      <c r="K740" s="132"/>
      <c r="L740" s="138"/>
    </row>
    <row r="741" spans="1:17" s="103" customFormat="1" ht="63.75">
      <c r="A741" s="76"/>
      <c r="B741" s="112" t="s">
        <v>438</v>
      </c>
      <c r="C741" s="81"/>
      <c r="D741" s="26"/>
      <c r="E741" s="19"/>
      <c r="F741" s="31"/>
      <c r="G741" s="186"/>
      <c r="H741" s="132"/>
      <c r="I741" s="125"/>
      <c r="J741" s="127"/>
      <c r="K741" s="132"/>
      <c r="L741" s="138"/>
    </row>
    <row r="742" spans="1:17">
      <c r="A742" s="76"/>
      <c r="B742" s="230" t="s">
        <v>439</v>
      </c>
      <c r="C742" s="81"/>
      <c r="D742" s="26"/>
      <c r="E742" s="19"/>
      <c r="F742" s="31"/>
      <c r="G742" s="186"/>
      <c r="H742" s="132"/>
      <c r="I742" s="125"/>
      <c r="J742" s="127"/>
      <c r="K742" s="132"/>
      <c r="L742" s="138"/>
      <c r="M742" s="103"/>
      <c r="N742" s="103"/>
    </row>
    <row r="743" spans="1:17" ht="89.25">
      <c r="A743" s="76"/>
      <c r="B743" s="231" t="s">
        <v>440</v>
      </c>
      <c r="C743" s="81"/>
      <c r="D743" s="26"/>
      <c r="E743" s="19"/>
      <c r="F743" s="31"/>
      <c r="G743" s="186"/>
      <c r="H743" s="132"/>
      <c r="I743" s="125"/>
      <c r="J743" s="127"/>
      <c r="K743" s="132"/>
      <c r="L743" s="138"/>
      <c r="M743" s="103"/>
      <c r="N743" s="103"/>
    </row>
    <row r="744" spans="1:17" ht="51">
      <c r="A744" s="76"/>
      <c r="B744" s="232" t="s">
        <v>441</v>
      </c>
      <c r="C744" s="81"/>
      <c r="D744" s="26"/>
      <c r="E744" s="19"/>
      <c r="F744" s="31"/>
      <c r="G744" s="186"/>
      <c r="H744" s="132"/>
      <c r="I744" s="125"/>
      <c r="J744" s="127"/>
      <c r="K744" s="132"/>
      <c r="L744" s="138"/>
      <c r="M744" s="103"/>
      <c r="N744" s="103"/>
    </row>
    <row r="745" spans="1:17" ht="76.5">
      <c r="A745" s="76"/>
      <c r="B745" s="112" t="s">
        <v>442</v>
      </c>
      <c r="C745" s="81"/>
      <c r="D745" s="26"/>
      <c r="E745" s="19"/>
      <c r="F745" s="31"/>
      <c r="G745" s="186"/>
      <c r="H745" s="132"/>
      <c r="I745" s="125"/>
      <c r="J745" s="127"/>
      <c r="K745" s="132"/>
      <c r="L745" s="138"/>
      <c r="M745" s="103"/>
      <c r="N745" s="103"/>
    </row>
    <row r="746" spans="1:17" ht="76.5">
      <c r="A746" s="204"/>
      <c r="B746" s="219" t="s">
        <v>443</v>
      </c>
      <c r="C746" s="208"/>
      <c r="D746" s="209"/>
      <c r="E746" s="210"/>
      <c r="F746" s="211"/>
      <c r="G746" s="186"/>
      <c r="H746" s="132"/>
      <c r="I746" s="125"/>
      <c r="J746" s="127"/>
      <c r="K746" s="132"/>
      <c r="L746" s="138"/>
      <c r="M746" s="103"/>
      <c r="N746" s="103"/>
    </row>
    <row r="747" spans="1:17">
      <c r="A747" s="76"/>
      <c r="B747" s="112"/>
      <c r="C747" s="81"/>
      <c r="D747" s="26"/>
      <c r="E747" s="19"/>
      <c r="F747" s="31"/>
      <c r="G747" s="186"/>
      <c r="H747" s="132"/>
      <c r="I747" s="125"/>
      <c r="J747" s="127"/>
      <c r="K747" s="132"/>
      <c r="L747" s="138"/>
      <c r="M747" s="103"/>
      <c r="N747" s="103"/>
    </row>
    <row r="748" spans="1:17" ht="25.5">
      <c r="A748" s="76"/>
      <c r="B748" s="232" t="s">
        <v>444</v>
      </c>
      <c r="C748" s="81"/>
      <c r="D748" s="26"/>
      <c r="E748" s="19"/>
      <c r="F748" s="31"/>
      <c r="G748" s="186"/>
      <c r="H748" s="132"/>
      <c r="I748" s="125"/>
      <c r="J748" s="127"/>
      <c r="K748" s="132"/>
      <c r="L748" s="138"/>
      <c r="M748" s="103"/>
      <c r="N748" s="103"/>
    </row>
    <row r="749" spans="1:17" ht="89.25">
      <c r="A749" s="87"/>
      <c r="B749" s="112" t="s">
        <v>445</v>
      </c>
      <c r="C749" s="81"/>
      <c r="D749" s="26"/>
      <c r="E749" s="19"/>
      <c r="F749" s="31"/>
      <c r="G749" s="186"/>
      <c r="H749" s="132"/>
      <c r="I749" s="103"/>
      <c r="J749" s="103"/>
      <c r="K749" s="103"/>
      <c r="L749" s="9"/>
      <c r="M749" s="103"/>
      <c r="N749" s="103"/>
    </row>
    <row r="750" spans="1:17" ht="63.75">
      <c r="A750" s="76"/>
      <c r="B750" s="112" t="s">
        <v>446</v>
      </c>
      <c r="C750" s="22"/>
      <c r="D750" s="22"/>
      <c r="E750" s="22"/>
      <c r="F750" s="30"/>
      <c r="G750" s="186"/>
      <c r="I750" s="103"/>
      <c r="J750" s="112"/>
      <c r="K750" s="103"/>
      <c r="L750" s="9"/>
      <c r="M750" s="103"/>
      <c r="N750" s="103"/>
    </row>
    <row r="751" spans="1:17" ht="63.75">
      <c r="A751" s="32"/>
      <c r="B751" s="112" t="s">
        <v>447</v>
      </c>
      <c r="C751" s="22"/>
      <c r="D751" s="80"/>
      <c r="E751" s="22"/>
      <c r="F751" s="30"/>
      <c r="G751" s="186"/>
      <c r="I751" s="103"/>
      <c r="J751" s="103"/>
      <c r="K751" s="103"/>
      <c r="L751" s="9"/>
      <c r="M751" s="103"/>
      <c r="N751" s="103"/>
      <c r="O751" s="103"/>
      <c r="P751" s="103"/>
      <c r="Q751" s="103"/>
    </row>
    <row r="752" spans="1:17" ht="63.75">
      <c r="A752" s="32"/>
      <c r="B752" s="103" t="s">
        <v>448</v>
      </c>
      <c r="C752" s="22"/>
      <c r="D752" s="22"/>
      <c r="E752" s="22"/>
      <c r="F752" s="30"/>
      <c r="G752" s="186"/>
      <c r="I752" s="103"/>
      <c r="J752" s="103"/>
      <c r="K752" s="103"/>
      <c r="L752" s="9"/>
      <c r="M752" s="103"/>
      <c r="N752" s="103"/>
      <c r="O752" s="103"/>
      <c r="P752" s="103"/>
      <c r="Q752" s="103"/>
    </row>
    <row r="753" spans="1:17" ht="102">
      <c r="A753" s="32"/>
      <c r="B753" s="112" t="s">
        <v>452</v>
      </c>
      <c r="C753" s="22"/>
      <c r="D753" s="78"/>
      <c r="E753" s="22"/>
      <c r="F753" s="30"/>
      <c r="G753" s="186"/>
      <c r="H753" s="112"/>
      <c r="I753" s="192"/>
      <c r="J753" s="152"/>
      <c r="K753" s="152"/>
      <c r="L753" s="132"/>
      <c r="M753" s="103"/>
      <c r="N753" s="152"/>
      <c r="O753" s="103"/>
      <c r="P753" s="103"/>
      <c r="Q753" s="103"/>
    </row>
    <row r="754" spans="1:17" ht="38.25">
      <c r="A754" s="32"/>
      <c r="B754" s="112" t="s">
        <v>453</v>
      </c>
      <c r="C754" s="22"/>
      <c r="D754" s="78"/>
      <c r="E754" s="27"/>
      <c r="F754" s="30">
        <f>D754*E754</f>
        <v>0</v>
      </c>
      <c r="G754" s="404"/>
      <c r="H754" s="112"/>
      <c r="I754" s="192"/>
      <c r="J754" s="152"/>
      <c r="K754" s="152"/>
      <c r="L754" s="132"/>
      <c r="M754" s="103"/>
      <c r="N754" s="152"/>
      <c r="O754" s="103"/>
      <c r="P754" s="103"/>
      <c r="Q754" s="103"/>
    </row>
    <row r="755" spans="1:17" s="103" customFormat="1" ht="51">
      <c r="A755" s="32"/>
      <c r="B755" s="33" t="s">
        <v>216</v>
      </c>
      <c r="C755" s="22"/>
      <c r="D755" s="78"/>
      <c r="E755" s="27"/>
      <c r="F755" s="30"/>
      <c r="G755" s="186"/>
      <c r="H755" s="112"/>
      <c r="I755" s="192"/>
      <c r="J755" s="152"/>
      <c r="K755" s="152"/>
      <c r="L755" s="132"/>
      <c r="N755" s="152"/>
    </row>
    <row r="756" spans="1:17" s="103" customFormat="1" ht="25.5">
      <c r="A756" s="32"/>
      <c r="B756" s="112" t="s">
        <v>449</v>
      </c>
      <c r="C756" s="22"/>
      <c r="D756" s="78"/>
      <c r="E756" s="27"/>
      <c r="F756" s="30"/>
      <c r="G756" s="186"/>
      <c r="H756" s="112"/>
      <c r="I756" s="192"/>
      <c r="J756" s="152"/>
      <c r="K756" s="152"/>
      <c r="L756" s="132"/>
      <c r="N756" s="152"/>
    </row>
    <row r="757" spans="1:17" s="103" customFormat="1" ht="102">
      <c r="A757" s="198"/>
      <c r="B757" s="219" t="s">
        <v>450</v>
      </c>
      <c r="C757" s="196"/>
      <c r="D757" s="220"/>
      <c r="E757" s="201"/>
      <c r="F757" s="212"/>
      <c r="G757" s="186"/>
      <c r="H757" s="112"/>
      <c r="I757" s="192"/>
      <c r="J757" s="152"/>
      <c r="K757" s="152"/>
      <c r="L757" s="132"/>
      <c r="N757" s="152"/>
    </row>
    <row r="758" spans="1:17" s="103" customFormat="1">
      <c r="A758" s="32"/>
      <c r="B758" s="112"/>
      <c r="C758" s="22"/>
      <c r="D758" s="78"/>
      <c r="E758" s="27"/>
      <c r="F758" s="30"/>
      <c r="G758" s="186"/>
      <c r="H758" s="112"/>
      <c r="I758" s="192"/>
      <c r="J758" s="152"/>
      <c r="K758" s="152"/>
      <c r="L758" s="132"/>
      <c r="N758" s="152"/>
    </row>
    <row r="759" spans="1:17" s="103" customFormat="1" ht="51">
      <c r="A759" s="32"/>
      <c r="B759" s="103" t="s">
        <v>451</v>
      </c>
      <c r="C759" s="22"/>
      <c r="D759" s="78"/>
      <c r="E759" s="27"/>
      <c r="F759" s="30"/>
      <c r="G759" s="186"/>
      <c r="H759" s="112"/>
      <c r="I759" s="192"/>
      <c r="J759" s="152"/>
      <c r="K759" s="152"/>
      <c r="L759" s="132"/>
      <c r="N759" s="152"/>
    </row>
    <row r="760" spans="1:17" s="103" customFormat="1" ht="25.5">
      <c r="A760" s="32"/>
      <c r="B760" s="225" t="s">
        <v>117</v>
      </c>
      <c r="C760" s="22"/>
      <c r="D760" s="78"/>
      <c r="E760" s="27"/>
      <c r="F760" s="30"/>
      <c r="G760" s="186"/>
      <c r="H760" s="112"/>
      <c r="I760" s="192"/>
      <c r="J760" s="152"/>
      <c r="K760" s="152"/>
      <c r="L760" s="132"/>
      <c r="N760" s="152"/>
    </row>
    <row r="761" spans="1:17" s="103" customFormat="1" ht="25.5">
      <c r="A761" s="32"/>
      <c r="B761" s="33" t="s">
        <v>1171</v>
      </c>
      <c r="C761" s="22"/>
      <c r="D761" s="78"/>
      <c r="E761" s="27"/>
      <c r="F761" s="30"/>
      <c r="G761" s="186"/>
      <c r="I761" s="192"/>
      <c r="J761" s="152"/>
      <c r="K761" s="152"/>
      <c r="L761" s="132"/>
      <c r="N761" s="152"/>
    </row>
    <row r="762" spans="1:17" s="103" customFormat="1">
      <c r="A762" s="32"/>
      <c r="B762" s="16"/>
      <c r="C762" s="13"/>
      <c r="D762" s="78"/>
      <c r="E762" s="27"/>
      <c r="F762" s="30"/>
      <c r="G762" s="186"/>
      <c r="H762" s="112"/>
      <c r="I762" s="192"/>
      <c r="J762" s="152"/>
      <c r="K762" s="152"/>
      <c r="L762" s="132"/>
      <c r="N762" s="152"/>
    </row>
    <row r="763" spans="1:17" s="103" customFormat="1">
      <c r="A763" s="87" t="s">
        <v>1256</v>
      </c>
      <c r="B763" s="17" t="s">
        <v>455</v>
      </c>
      <c r="C763" s="22"/>
      <c r="D763" s="78"/>
      <c r="E763" s="27"/>
      <c r="F763" s="30"/>
      <c r="G763" s="186"/>
      <c r="H763" s="305"/>
      <c r="I763" s="192"/>
      <c r="J763" s="152"/>
      <c r="K763" s="152"/>
      <c r="L763" s="132"/>
      <c r="N763" s="152"/>
    </row>
    <row r="764" spans="1:17">
      <c r="A764" s="87"/>
      <c r="B764" s="16" t="s">
        <v>140</v>
      </c>
      <c r="C764" s="81"/>
      <c r="D764" s="26"/>
      <c r="E764" s="19"/>
      <c r="F764" s="31"/>
      <c r="G764" s="186"/>
      <c r="H764" s="305"/>
      <c r="I764" s="192"/>
      <c r="J764" s="152"/>
      <c r="K764" s="152"/>
      <c r="L764" s="132"/>
      <c r="M764" s="103"/>
      <c r="N764" s="152"/>
      <c r="O764" s="103"/>
      <c r="P764" s="103"/>
      <c r="Q764" s="103"/>
    </row>
    <row r="765" spans="1:17">
      <c r="A765" s="32"/>
      <c r="B765" s="10" t="s">
        <v>456</v>
      </c>
      <c r="C765" s="22"/>
      <c r="D765" s="22"/>
      <c r="E765" s="22"/>
      <c r="F765" s="30"/>
      <c r="G765" s="186"/>
      <c r="I765" s="125"/>
      <c r="J765" s="112"/>
      <c r="K765" s="103"/>
      <c r="L765" s="103"/>
      <c r="M765" s="103"/>
      <c r="N765" s="103"/>
      <c r="O765" s="103"/>
      <c r="P765" s="103"/>
      <c r="Q765" s="103"/>
    </row>
    <row r="766" spans="1:17">
      <c r="A766" s="32"/>
      <c r="B766" s="23"/>
      <c r="C766" s="22"/>
      <c r="D766" s="134"/>
      <c r="E766" s="22"/>
      <c r="F766" s="30"/>
      <c r="G766" s="186"/>
      <c r="H766" s="89"/>
      <c r="I766" s="125"/>
      <c r="J766" s="127"/>
      <c r="K766" s="103"/>
      <c r="L766" s="103"/>
      <c r="M766" s="103"/>
      <c r="N766" s="158"/>
      <c r="O766" s="103"/>
      <c r="P766" s="103"/>
      <c r="Q766" s="103"/>
    </row>
    <row r="767" spans="1:17" s="103" customFormat="1">
      <c r="A767" s="32"/>
      <c r="B767" s="321" t="s">
        <v>140</v>
      </c>
      <c r="C767" s="250"/>
      <c r="D767" s="252"/>
      <c r="E767" s="27"/>
      <c r="F767" s="30"/>
      <c r="G767" s="186"/>
      <c r="H767" s="126"/>
      <c r="I767" s="125"/>
      <c r="J767" s="126"/>
      <c r="N767" s="8"/>
    </row>
    <row r="768" spans="1:17" s="103" customFormat="1">
      <c r="A768" s="32"/>
      <c r="B768" s="257" t="s">
        <v>1039</v>
      </c>
      <c r="C768" s="250"/>
      <c r="D768" s="322"/>
      <c r="E768" s="27"/>
      <c r="F768" s="30"/>
      <c r="G768" s="186"/>
      <c r="H768" s="7"/>
      <c r="J768" s="112"/>
      <c r="N768" s="9"/>
    </row>
    <row r="769" spans="1:14" s="103" customFormat="1" ht="63.75">
      <c r="A769" s="32"/>
      <c r="B769" s="255" t="s">
        <v>1038</v>
      </c>
      <c r="C769" s="250"/>
      <c r="D769" s="322">
        <f>15.12*(0.67+11.29)+11.48*(1.82*2+1.38)+3.18*1.38+(16.17+17.7)/2*8.26+2.7*(3.22+1.8+1.32*2)-(2.31*2.4+2.1*1.6+6+0.9*2.4*14+1.8*1.6*9+1*1.6*18+1.38*2.4*5+2.7*1.6)</f>
        <v>282.67430000000002</v>
      </c>
      <c r="E769" s="27"/>
      <c r="F769" s="30"/>
      <c r="G769" s="186"/>
      <c r="H769" s="89"/>
      <c r="J769" s="112"/>
      <c r="N769" s="89"/>
    </row>
    <row r="770" spans="1:14" s="103" customFormat="1" ht="51">
      <c r="A770" s="32"/>
      <c r="B770" s="255" t="s">
        <v>1040</v>
      </c>
      <c r="C770" s="250"/>
      <c r="D770" s="322">
        <f>(16.17+17.7)/2*6.96+16.17*1.3+15.12*(14.87+0.25)+2.7*(2.9+1.8)-(1*1.6*15+1.8*1.6*15+0.9*2.4*15+2.1*1.6*2)</f>
        <v>273.87300000000005</v>
      </c>
      <c r="E770" s="27"/>
      <c r="F770" s="30"/>
      <c r="G770" s="186"/>
      <c r="H770" s="332"/>
      <c r="J770" s="112"/>
      <c r="N770" s="89"/>
    </row>
    <row r="771" spans="1:14" s="103" customFormat="1" ht="25.5">
      <c r="A771" s="32"/>
      <c r="B771" s="255" t="s">
        <v>1041</v>
      </c>
      <c r="C771" s="250"/>
      <c r="D771" s="322">
        <f>15.12*(6.44+0.6+2.8)-(2.8*2.45*4+1*1.6*10+0.9*2.1)</f>
        <v>103.4508</v>
      </c>
      <c r="E771" s="27"/>
      <c r="F771" s="30"/>
      <c r="G771" s="186"/>
      <c r="H771" s="8"/>
      <c r="I771" s="125"/>
      <c r="J771" s="127"/>
    </row>
    <row r="772" spans="1:14" s="103" customFormat="1" ht="38.25">
      <c r="A772" s="32"/>
      <c r="B772" s="255" t="s">
        <v>1042</v>
      </c>
      <c r="C772" s="250"/>
      <c r="D772" s="322">
        <f>15.12*(11.87+11.74+0.37)-(1*1.6*10+1*0.6*5+1.8*1.6*15+0.9*2.4*5+1.5*1.6*5)</f>
        <v>277.57759999999996</v>
      </c>
      <c r="E772" s="27"/>
      <c r="F772" s="30"/>
      <c r="G772" s="186"/>
      <c r="H772" s="9"/>
      <c r="I772" s="125"/>
      <c r="J772" s="105"/>
      <c r="N772" s="158"/>
    </row>
    <row r="773" spans="1:14" s="103" customFormat="1">
      <c r="A773" s="32"/>
      <c r="B773" s="22"/>
      <c r="C773" s="24"/>
      <c r="D773" s="78"/>
      <c r="E773" s="27"/>
      <c r="F773" s="30"/>
      <c r="G773" s="186"/>
      <c r="H773" s="89"/>
      <c r="I773" s="125"/>
      <c r="J773" s="105"/>
      <c r="L773" s="9"/>
    </row>
    <row r="774" spans="1:14" s="103" customFormat="1">
      <c r="A774" s="32"/>
      <c r="B774" s="22" t="s">
        <v>1257</v>
      </c>
      <c r="C774" s="13" t="s">
        <v>38</v>
      </c>
      <c r="D774" s="80">
        <f>SUM(D769:D773)</f>
        <v>937.57569999999998</v>
      </c>
      <c r="E774" s="16"/>
      <c r="F774" s="30">
        <f>D774*E774</f>
        <v>0</v>
      </c>
      <c r="G774" s="193"/>
      <c r="H774" s="89"/>
      <c r="I774" s="125"/>
      <c r="J774" s="105"/>
      <c r="L774" s="9"/>
    </row>
    <row r="775" spans="1:14" s="103" customFormat="1">
      <c r="A775" s="32"/>
      <c r="B775" s="22"/>
      <c r="C775" s="24"/>
      <c r="D775" s="78"/>
      <c r="E775" s="27"/>
      <c r="F775" s="30"/>
      <c r="G775" s="186"/>
      <c r="H775" s="89"/>
      <c r="I775" s="125"/>
      <c r="J775" s="105"/>
      <c r="L775" s="9"/>
    </row>
    <row r="776" spans="1:14" s="103" customFormat="1">
      <c r="A776" s="161" t="s">
        <v>1258</v>
      </c>
      <c r="B776" s="17" t="s">
        <v>457</v>
      </c>
      <c r="C776" s="13"/>
      <c r="D776" s="23"/>
      <c r="E776" s="19"/>
      <c r="F776" s="30"/>
      <c r="G776" s="186"/>
      <c r="H776" s="89"/>
      <c r="I776" s="125"/>
      <c r="J776" s="105"/>
      <c r="L776" s="9"/>
    </row>
    <row r="777" spans="1:14" s="103" customFormat="1">
      <c r="A777" s="79"/>
      <c r="B777" s="16" t="s">
        <v>458</v>
      </c>
      <c r="C777" s="13"/>
      <c r="D777" s="23"/>
      <c r="E777" s="19"/>
      <c r="F777" s="30"/>
      <c r="G777" s="186"/>
      <c r="H777" s="126"/>
      <c r="I777" s="125"/>
      <c r="J777" s="126"/>
      <c r="K777" s="9"/>
      <c r="L777" s="9"/>
      <c r="N777" s="9"/>
    </row>
    <row r="778" spans="1:14" s="103" customFormat="1">
      <c r="A778" s="79"/>
      <c r="B778" s="21" t="s">
        <v>1043</v>
      </c>
      <c r="C778" s="13" t="s">
        <v>38</v>
      </c>
      <c r="D778" s="23">
        <f>1.35*1.64 *4</f>
        <v>8.8559999999999999</v>
      </c>
      <c r="E778" s="16"/>
      <c r="F778" s="30">
        <f>D778*E778</f>
        <v>0</v>
      </c>
      <c r="G778" s="193"/>
      <c r="H778" s="7"/>
      <c r="I778" s="125"/>
      <c r="J778" s="105"/>
      <c r="K778" s="9"/>
      <c r="L778" s="9"/>
      <c r="N778" s="9"/>
    </row>
    <row r="779" spans="1:14" s="103" customFormat="1">
      <c r="A779" s="79"/>
      <c r="B779" s="21"/>
      <c r="C779" s="13"/>
      <c r="D779" s="23"/>
      <c r="E779" s="16"/>
      <c r="F779" s="30"/>
      <c r="G779" s="193"/>
      <c r="H779" s="89"/>
      <c r="I779" s="110"/>
      <c r="J779" s="324"/>
      <c r="K779" s="9"/>
      <c r="L779" s="9"/>
      <c r="N779" s="9"/>
    </row>
    <row r="780" spans="1:14" s="103" customFormat="1">
      <c r="A780" s="87" t="s">
        <v>1259</v>
      </c>
      <c r="B780" s="17" t="s">
        <v>1044</v>
      </c>
      <c r="C780" s="24"/>
      <c r="D780" s="78"/>
      <c r="E780" s="27"/>
      <c r="F780" s="30"/>
      <c r="G780" s="186"/>
      <c r="I780" s="110"/>
      <c r="J780" s="89"/>
      <c r="K780" s="9"/>
      <c r="L780" s="9"/>
      <c r="N780" s="9"/>
    </row>
    <row r="781" spans="1:14" s="103" customFormat="1">
      <c r="A781" s="87"/>
      <c r="B781" s="16" t="s">
        <v>1045</v>
      </c>
      <c r="C781" s="24"/>
      <c r="D781" s="78"/>
      <c r="E781" s="27"/>
      <c r="F781" s="30"/>
      <c r="G781" s="186"/>
      <c r="I781" s="110"/>
      <c r="J781" s="89"/>
      <c r="K781" s="152"/>
      <c r="L781" s="9"/>
      <c r="M781" s="112"/>
      <c r="N781" s="152"/>
    </row>
    <row r="782" spans="1:14" s="103" customFormat="1" ht="25.5">
      <c r="A782" s="32"/>
      <c r="B782" s="21" t="s">
        <v>1046</v>
      </c>
      <c r="C782" s="13" t="s">
        <v>38</v>
      </c>
      <c r="D782" s="80">
        <f>0.2*(2.7*19+2.4*5+1.8*20+10*53+2.1*10+2.7+1.38+0.9*10)</f>
        <v>132.67600000000002</v>
      </c>
      <c r="E782" s="16"/>
      <c r="F782" s="30">
        <f>D782*E782</f>
        <v>0</v>
      </c>
      <c r="G782" s="193"/>
      <c r="H782" s="124"/>
      <c r="I782" s="110"/>
      <c r="J782" s="105"/>
      <c r="K782" s="124"/>
      <c r="L782" s="9"/>
    </row>
    <row r="783" spans="1:14" s="103" customFormat="1">
      <c r="A783" s="32"/>
      <c r="B783" s="22"/>
      <c r="C783" s="24"/>
      <c r="D783" s="78"/>
      <c r="E783" s="27"/>
      <c r="F783" s="30"/>
      <c r="G783" s="186"/>
      <c r="H783" s="124"/>
      <c r="I783" s="110"/>
      <c r="J783" s="105"/>
      <c r="K783" s="124"/>
      <c r="L783" s="9"/>
    </row>
    <row r="784" spans="1:14" s="103" customFormat="1">
      <c r="A784" s="161" t="s">
        <v>1260</v>
      </c>
      <c r="B784" s="17" t="s">
        <v>459</v>
      </c>
      <c r="C784" s="13"/>
      <c r="D784" s="23"/>
      <c r="E784" s="19"/>
      <c r="F784" s="30"/>
      <c r="G784" s="186"/>
      <c r="H784" s="124"/>
      <c r="I784" s="110"/>
      <c r="J784" s="105"/>
      <c r="K784" s="124"/>
      <c r="L784" s="9"/>
    </row>
    <row r="785" spans="1:12" s="103" customFormat="1" ht="25.5">
      <c r="A785" s="79"/>
      <c r="B785" s="16" t="s">
        <v>1051</v>
      </c>
      <c r="C785" s="13"/>
      <c r="D785" s="23"/>
      <c r="E785" s="19"/>
      <c r="F785" s="30"/>
      <c r="G785" s="186"/>
      <c r="H785" s="124"/>
      <c r="I785" s="110"/>
      <c r="J785" s="105"/>
      <c r="K785" s="124"/>
      <c r="L785" s="9"/>
    </row>
    <row r="786" spans="1:12" s="103" customFormat="1" ht="25.5">
      <c r="A786" s="213"/>
      <c r="B786" s="287" t="s">
        <v>1052</v>
      </c>
      <c r="C786" s="221" t="s">
        <v>38</v>
      </c>
      <c r="D786" s="220">
        <f>2.79*((1.68+0.55+0.25)*5+0.25*2+0.16*2)</f>
        <v>36.883800000000001</v>
      </c>
      <c r="E786" s="207"/>
      <c r="F786" s="212">
        <f>D786*E786</f>
        <v>0</v>
      </c>
      <c r="G786" s="193"/>
      <c r="H786" s="124"/>
      <c r="I786" s="110"/>
      <c r="J786" s="105"/>
      <c r="K786" s="124"/>
      <c r="L786" s="9"/>
    </row>
    <row r="787" spans="1:12" s="103" customFormat="1">
      <c r="A787" s="79"/>
      <c r="B787" s="21"/>
      <c r="C787" s="13"/>
      <c r="D787" s="23"/>
      <c r="E787" s="16"/>
      <c r="F787" s="30"/>
      <c r="G787" s="193"/>
      <c r="H787" s="124"/>
      <c r="I787" s="110"/>
      <c r="J787" s="105"/>
      <c r="K787" s="124"/>
      <c r="L787" s="9"/>
    </row>
    <row r="788" spans="1:12" s="103" customFormat="1">
      <c r="A788" s="161" t="s">
        <v>1261</v>
      </c>
      <c r="B788" s="17" t="s">
        <v>1049</v>
      </c>
      <c r="C788" s="24"/>
      <c r="D788" s="78"/>
      <c r="E788" s="27"/>
      <c r="F788" s="30"/>
      <c r="G788" s="186"/>
      <c r="H788" s="124"/>
      <c r="I788" s="110"/>
      <c r="J788" s="105"/>
      <c r="K788" s="124"/>
      <c r="L788" s="9"/>
    </row>
    <row r="789" spans="1:12" s="103" customFormat="1">
      <c r="A789" s="32"/>
      <c r="B789" s="321" t="s">
        <v>1053</v>
      </c>
      <c r="C789" s="24"/>
      <c r="D789" s="78"/>
      <c r="E789" s="27"/>
      <c r="F789" s="30"/>
      <c r="G789" s="186"/>
      <c r="H789" s="124"/>
      <c r="I789" s="110"/>
      <c r="J789" s="105"/>
      <c r="K789" s="124"/>
      <c r="L789" s="9"/>
    </row>
    <row r="790" spans="1:12" s="103" customFormat="1">
      <c r="A790" s="32"/>
      <c r="B790" s="257" t="s">
        <v>1048</v>
      </c>
      <c r="C790" s="24"/>
      <c r="D790" s="78"/>
      <c r="E790" s="27"/>
      <c r="F790" s="30"/>
      <c r="G790" s="186"/>
      <c r="H790" s="124"/>
      <c r="I790" s="110"/>
      <c r="J790" s="105"/>
      <c r="K790" s="124"/>
      <c r="L790" s="9"/>
    </row>
    <row r="791" spans="1:12" s="103" customFormat="1">
      <c r="A791" s="32"/>
      <c r="B791" s="21" t="s">
        <v>1050</v>
      </c>
      <c r="C791" s="13" t="s">
        <v>38</v>
      </c>
      <c r="D791" s="23">
        <f>2.7*1.33*2</f>
        <v>7.1820000000000013</v>
      </c>
      <c r="E791" s="16"/>
      <c r="F791" s="30">
        <f>D791*E791</f>
        <v>0</v>
      </c>
      <c r="G791" s="193"/>
      <c r="H791" s="124"/>
      <c r="I791" s="110"/>
      <c r="J791" s="105"/>
      <c r="K791" s="124"/>
      <c r="L791" s="9"/>
    </row>
    <row r="792" spans="1:12" s="103" customFormat="1">
      <c r="A792" s="32"/>
      <c r="B792" s="22"/>
      <c r="C792" s="24"/>
      <c r="D792" s="78"/>
      <c r="E792" s="27"/>
      <c r="F792" s="30"/>
      <c r="G792" s="186"/>
      <c r="H792" s="124"/>
      <c r="I792" s="110"/>
      <c r="J792" s="105"/>
      <c r="K792" s="124"/>
      <c r="L792" s="9"/>
    </row>
    <row r="793" spans="1:12" s="103" customFormat="1" ht="25.5">
      <c r="A793" s="79" t="s">
        <v>1262</v>
      </c>
      <c r="B793" s="16" t="s">
        <v>1227</v>
      </c>
      <c r="C793" s="13"/>
      <c r="D793" s="26"/>
      <c r="E793" s="19"/>
      <c r="F793" s="30"/>
      <c r="G793" s="186"/>
      <c r="H793" s="124"/>
      <c r="I793" s="110"/>
      <c r="J793" s="105"/>
      <c r="K793" s="124"/>
      <c r="L793" s="9"/>
    </row>
    <row r="794" spans="1:12" s="103" customFormat="1">
      <c r="A794" s="161"/>
      <c r="B794" s="16"/>
      <c r="C794" s="13"/>
      <c r="D794" s="26"/>
      <c r="E794" s="19"/>
      <c r="F794" s="30"/>
      <c r="G794" s="186"/>
      <c r="H794" s="124"/>
      <c r="I794" s="110"/>
      <c r="J794" s="105"/>
      <c r="K794" s="124"/>
      <c r="L794" s="9"/>
    </row>
    <row r="795" spans="1:12" s="103" customFormat="1">
      <c r="A795" s="161"/>
      <c r="B795" s="16" t="s">
        <v>27</v>
      </c>
      <c r="C795" s="13"/>
      <c r="D795" s="26"/>
      <c r="E795" s="19"/>
      <c r="F795" s="30"/>
      <c r="G795" s="186"/>
      <c r="H795" s="124"/>
      <c r="I795" s="110"/>
      <c r="J795" s="105"/>
      <c r="K795" s="124"/>
      <c r="L795" s="9"/>
    </row>
    <row r="796" spans="1:12" s="103" customFormat="1">
      <c r="A796" s="161"/>
      <c r="B796" s="23" t="s">
        <v>972</v>
      </c>
      <c r="C796" s="13"/>
      <c r="D796" s="26">
        <f>4.68+3.78*3+4.45+3.37</f>
        <v>23.84</v>
      </c>
      <c r="E796" s="19"/>
      <c r="F796" s="30"/>
      <c r="G796" s="186"/>
      <c r="H796" s="124"/>
      <c r="I796" s="110"/>
      <c r="J796" s="105"/>
      <c r="K796" s="124"/>
      <c r="L796" s="9"/>
    </row>
    <row r="797" spans="1:12" s="103" customFormat="1">
      <c r="A797" s="161"/>
      <c r="B797" s="22"/>
      <c r="C797" s="13"/>
      <c r="D797" s="26"/>
      <c r="E797" s="19"/>
      <c r="F797" s="30"/>
      <c r="G797" s="186"/>
      <c r="H797" s="124"/>
      <c r="I797" s="110"/>
      <c r="J797" s="105"/>
      <c r="K797" s="124"/>
      <c r="L797" s="9"/>
    </row>
    <row r="798" spans="1:12" s="103" customFormat="1">
      <c r="A798" s="161"/>
      <c r="B798" s="22" t="s">
        <v>360</v>
      </c>
      <c r="C798" s="13"/>
      <c r="D798" s="26"/>
      <c r="E798" s="19"/>
      <c r="F798" s="30"/>
      <c r="G798" s="186"/>
      <c r="H798" s="124"/>
      <c r="I798" s="110"/>
      <c r="J798" s="105"/>
      <c r="K798" s="124"/>
      <c r="L798" s="9"/>
    </row>
    <row r="799" spans="1:12" s="103" customFormat="1">
      <c r="A799" s="161"/>
      <c r="B799" s="23" t="s">
        <v>848</v>
      </c>
      <c r="C799" s="13"/>
      <c r="D799" s="26">
        <f>4.68+3.78*4+4.45+3.37</f>
        <v>27.619999999999997</v>
      </c>
      <c r="E799" s="19"/>
      <c r="F799" s="30"/>
      <c r="G799" s="186"/>
      <c r="H799" s="124"/>
      <c r="I799" s="110"/>
      <c r="J799" s="105"/>
      <c r="K799" s="124"/>
      <c r="L799" s="9"/>
    </row>
    <row r="800" spans="1:12" s="103" customFormat="1">
      <c r="A800" s="161"/>
      <c r="B800" s="22"/>
      <c r="C800" s="13"/>
      <c r="D800" s="26"/>
      <c r="E800" s="19"/>
      <c r="F800" s="30"/>
      <c r="G800" s="186"/>
      <c r="H800" s="124"/>
      <c r="I800" s="110"/>
      <c r="J800" s="105"/>
      <c r="K800" s="124"/>
      <c r="L800" s="9"/>
    </row>
    <row r="801" spans="1:17" s="103" customFormat="1">
      <c r="A801" s="161"/>
      <c r="B801" s="22" t="s">
        <v>361</v>
      </c>
      <c r="C801" s="13"/>
      <c r="D801" s="26"/>
      <c r="E801" s="19"/>
      <c r="F801" s="30"/>
      <c r="G801" s="186"/>
      <c r="H801" s="124"/>
      <c r="I801" s="110"/>
      <c r="J801" s="105"/>
      <c r="K801" s="124"/>
      <c r="L801" s="9"/>
    </row>
    <row r="802" spans="1:17" s="103" customFormat="1">
      <c r="A802" s="161"/>
      <c r="B802" s="23" t="s">
        <v>973</v>
      </c>
      <c r="C802" s="13"/>
      <c r="D802" s="26">
        <f>(4.68+3.78*4+4.45+3.37)*3</f>
        <v>82.859999999999985</v>
      </c>
      <c r="E802" s="19"/>
      <c r="F802" s="30"/>
      <c r="G802" s="186"/>
      <c r="H802" s="124"/>
      <c r="I802" s="110"/>
      <c r="J802" s="105"/>
      <c r="K802" s="124"/>
      <c r="L802" s="9"/>
    </row>
    <row r="803" spans="1:17" s="103" customFormat="1">
      <c r="A803" s="161"/>
      <c r="B803" s="16"/>
      <c r="C803" s="13"/>
      <c r="D803" s="26"/>
      <c r="E803" s="19"/>
      <c r="F803" s="30"/>
      <c r="G803" s="186"/>
      <c r="H803" s="124"/>
      <c r="I803" s="110"/>
      <c r="J803" s="105"/>
      <c r="K803" s="124"/>
      <c r="L803" s="9"/>
    </row>
    <row r="804" spans="1:17" s="103" customFormat="1">
      <c r="A804" s="161"/>
      <c r="B804" s="16" t="s">
        <v>1263</v>
      </c>
      <c r="C804" s="13" t="s">
        <v>38</v>
      </c>
      <c r="D804" s="26">
        <f>SUM(D796:D803)</f>
        <v>134.32</v>
      </c>
      <c r="E804" s="16"/>
      <c r="F804" s="30">
        <f>D804*E804</f>
        <v>0</v>
      </c>
      <c r="G804" s="186"/>
      <c r="H804" s="124"/>
      <c r="I804" s="110"/>
      <c r="J804" s="105"/>
      <c r="K804" s="124"/>
      <c r="L804" s="9"/>
    </row>
    <row r="805" spans="1:17" s="103" customFormat="1">
      <c r="A805" s="161"/>
      <c r="B805" s="16"/>
      <c r="C805" s="13"/>
      <c r="D805" s="26"/>
      <c r="E805" s="16"/>
      <c r="F805" s="30"/>
      <c r="G805" s="186"/>
      <c r="H805" s="124"/>
      <c r="I805" s="110"/>
      <c r="J805" s="105"/>
      <c r="K805" s="124"/>
      <c r="L805" s="9"/>
    </row>
    <row r="806" spans="1:17" ht="51">
      <c r="A806" s="76" t="s">
        <v>1264</v>
      </c>
      <c r="B806" s="162" t="s">
        <v>1054</v>
      </c>
      <c r="C806" s="24"/>
      <c r="D806" s="78"/>
      <c r="E806" s="27"/>
      <c r="F806" s="30"/>
      <c r="G806" s="186"/>
      <c r="H806" s="124"/>
      <c r="I806" s="103"/>
      <c r="J806" s="103"/>
      <c r="K806" s="103"/>
      <c r="L806" s="103"/>
      <c r="M806" s="103"/>
      <c r="N806" s="103"/>
      <c r="O806" s="103"/>
      <c r="P806" s="103"/>
      <c r="Q806" s="103"/>
    </row>
    <row r="807" spans="1:17" ht="76.5">
      <c r="A807" s="32"/>
      <c r="B807" s="16" t="s">
        <v>460</v>
      </c>
      <c r="C807" s="24"/>
      <c r="D807" s="78"/>
      <c r="E807" s="27"/>
      <c r="F807" s="30"/>
      <c r="G807" s="186"/>
      <c r="H807" s="124"/>
      <c r="I807" s="103"/>
      <c r="J807" s="103"/>
      <c r="K807" s="103"/>
      <c r="L807" s="103"/>
      <c r="M807" s="103"/>
      <c r="N807" s="103"/>
      <c r="O807" s="103"/>
      <c r="P807" s="103"/>
      <c r="Q807" s="103"/>
    </row>
    <row r="808" spans="1:17" ht="127.5">
      <c r="A808" s="32"/>
      <c r="B808" s="112" t="s">
        <v>462</v>
      </c>
      <c r="C808" s="24"/>
      <c r="D808" s="78"/>
      <c r="E808" s="27"/>
      <c r="F808" s="30"/>
      <c r="G808" s="186"/>
      <c r="H808" s="124"/>
      <c r="I808" s="103"/>
      <c r="J808" s="103"/>
      <c r="K808" s="103"/>
      <c r="L808" s="103"/>
      <c r="M808" s="103"/>
      <c r="N808" s="103"/>
      <c r="O808" s="103"/>
      <c r="P808" s="103"/>
      <c r="Q808" s="103"/>
    </row>
    <row r="809" spans="1:17" ht="51">
      <c r="A809" s="32"/>
      <c r="B809" s="33" t="s">
        <v>216</v>
      </c>
      <c r="C809" s="24"/>
      <c r="D809" s="78"/>
      <c r="E809" s="27"/>
      <c r="F809" s="30"/>
      <c r="G809" s="186"/>
      <c r="H809" s="124"/>
      <c r="I809" s="103"/>
      <c r="J809" s="103"/>
      <c r="K809" s="103"/>
      <c r="L809" s="103"/>
      <c r="M809" s="103"/>
      <c r="N809" s="103"/>
      <c r="O809" s="103"/>
      <c r="P809" s="103"/>
      <c r="Q809" s="103"/>
    </row>
    <row r="810" spans="1:17" ht="25.5">
      <c r="A810" s="32"/>
      <c r="B810" s="33" t="s">
        <v>454</v>
      </c>
      <c r="C810" s="81"/>
      <c r="D810" s="26"/>
      <c r="E810" s="27"/>
      <c r="F810" s="30"/>
      <c r="G810" s="186"/>
      <c r="H810" s="124"/>
      <c r="I810" s="103"/>
      <c r="J810" s="103"/>
      <c r="K810" s="103"/>
      <c r="L810" s="103"/>
      <c r="M810" s="103"/>
      <c r="N810" s="103"/>
      <c r="O810" s="103"/>
      <c r="P810" s="103"/>
      <c r="Q810" s="103"/>
    </row>
    <row r="811" spans="1:17">
      <c r="A811" s="87"/>
      <c r="B811" s="162"/>
      <c r="C811" s="81"/>
      <c r="D811" s="26"/>
      <c r="E811" s="27"/>
      <c r="F811" s="30"/>
      <c r="G811" s="186"/>
      <c r="H811" s="124"/>
      <c r="I811" s="103"/>
      <c r="J811" s="103"/>
      <c r="K811" s="103"/>
      <c r="L811" s="103"/>
      <c r="M811" s="103"/>
      <c r="N811" s="103"/>
      <c r="O811" s="103"/>
      <c r="P811" s="103"/>
      <c r="Q811" s="103"/>
    </row>
    <row r="812" spans="1:17">
      <c r="A812" s="87"/>
      <c r="B812" s="16" t="s">
        <v>541</v>
      </c>
      <c r="C812" s="81"/>
      <c r="D812" s="26"/>
      <c r="E812" s="27"/>
      <c r="F812" s="30"/>
      <c r="G812" s="186"/>
      <c r="H812" s="124"/>
      <c r="I812" s="103"/>
      <c r="J812" s="103"/>
      <c r="K812" s="103"/>
      <c r="L812" s="103"/>
      <c r="M812" s="103"/>
      <c r="N812" s="103"/>
      <c r="O812" s="103"/>
      <c r="P812" s="103"/>
      <c r="Q812" s="103"/>
    </row>
    <row r="813" spans="1:17" ht="25.5">
      <c r="A813" s="198"/>
      <c r="B813" s="287" t="s">
        <v>1047</v>
      </c>
      <c r="C813" s="221" t="s">
        <v>38</v>
      </c>
      <c r="D813" s="287">
        <f>0.3*(24.82+1.3+14.78+6.38+13.54+9.2+0.6+11.87)</f>
        <v>24.746999999999996</v>
      </c>
      <c r="E813" s="215"/>
      <c r="F813" s="212">
        <f>D813*E813</f>
        <v>0</v>
      </c>
      <c r="G813" s="193"/>
      <c r="H813" s="124"/>
      <c r="I813" s="103"/>
      <c r="J813" s="103"/>
      <c r="K813" s="103"/>
      <c r="L813" s="103"/>
      <c r="M813" s="103"/>
      <c r="N813" s="103"/>
      <c r="O813" s="103"/>
      <c r="P813" s="103"/>
      <c r="Q813" s="103"/>
    </row>
    <row r="814" spans="1:17">
      <c r="A814" s="32"/>
      <c r="B814" s="16"/>
      <c r="C814" s="13"/>
      <c r="D814" s="23"/>
      <c r="E814" s="27"/>
      <c r="F814" s="30"/>
      <c r="G814" s="186"/>
      <c r="H814" s="124"/>
      <c r="I814" s="103"/>
      <c r="J814" s="103"/>
      <c r="K814" s="103"/>
      <c r="L814" s="103"/>
      <c r="M814" s="103"/>
      <c r="N814" s="103"/>
      <c r="O814" s="103"/>
      <c r="P814" s="103"/>
      <c r="Q814" s="103"/>
    </row>
    <row r="815" spans="1:17">
      <c r="A815" s="32"/>
      <c r="B815" s="16" t="s">
        <v>1055</v>
      </c>
      <c r="C815" s="81"/>
      <c r="D815" s="26"/>
      <c r="E815" s="27"/>
      <c r="F815" s="30"/>
      <c r="G815" s="186"/>
      <c r="H815" s="124"/>
      <c r="I815" s="103"/>
      <c r="J815" s="103"/>
      <c r="K815" s="103"/>
      <c r="L815" s="103"/>
      <c r="M815" s="103"/>
      <c r="N815" s="103"/>
      <c r="O815" s="103"/>
      <c r="P815" s="103"/>
      <c r="Q815" s="103"/>
    </row>
    <row r="816" spans="1:17" ht="38.25">
      <c r="A816" s="32"/>
      <c r="B816" s="78" t="s">
        <v>1056</v>
      </c>
      <c r="C816" s="13" t="s">
        <v>38</v>
      </c>
      <c r="D816" s="21">
        <f>(0.38*2+0.15)*(9.2+14+16+17.95)+(0.2*2+0.26+1.6)*1.62+0.94*3+(0.38+0.15+0.97)*10.85</f>
        <v>74.762700000000009</v>
      </c>
      <c r="E816" s="10"/>
      <c r="F816" s="30">
        <f>D816*E816</f>
        <v>0</v>
      </c>
      <c r="G816" s="193"/>
      <c r="H816" s="124"/>
      <c r="I816" s="103"/>
      <c r="J816" s="103"/>
      <c r="K816" s="103"/>
      <c r="L816" s="103"/>
      <c r="M816" s="103"/>
      <c r="N816" s="103"/>
      <c r="O816" s="103"/>
      <c r="P816" s="103"/>
      <c r="Q816" s="103"/>
    </row>
    <row r="817" spans="1:17">
      <c r="A817" s="32"/>
      <c r="B817" s="8"/>
      <c r="C817" s="13"/>
      <c r="D817" s="23"/>
      <c r="E817" s="27"/>
      <c r="F817" s="30"/>
      <c r="G817" s="186"/>
      <c r="H817" s="124"/>
      <c r="I817" s="103"/>
      <c r="J817" s="103"/>
      <c r="K817" s="103"/>
      <c r="L817" s="103"/>
      <c r="M817" s="103"/>
      <c r="N817" s="103"/>
      <c r="O817" s="103"/>
      <c r="P817" s="103"/>
      <c r="Q817" s="103"/>
    </row>
    <row r="818" spans="1:17" s="103" customFormat="1" ht="51">
      <c r="A818" s="76" t="s">
        <v>169</v>
      </c>
      <c r="B818" s="225" t="s">
        <v>463</v>
      </c>
      <c r="C818" s="13"/>
      <c r="D818" s="23"/>
      <c r="E818" s="19"/>
      <c r="F818" s="30"/>
      <c r="G818" s="186"/>
    </row>
    <row r="819" spans="1:17" ht="76.5">
      <c r="A819" s="76"/>
      <c r="B819" s="232" t="s">
        <v>435</v>
      </c>
      <c r="C819" s="13"/>
      <c r="D819" s="23"/>
      <c r="E819" s="19"/>
      <c r="F819" s="30"/>
      <c r="G819" s="186"/>
      <c r="I819" s="103"/>
      <c r="J819" s="103"/>
      <c r="K819" s="103"/>
      <c r="L819" s="103"/>
      <c r="M819" s="103"/>
      <c r="N819" s="103"/>
      <c r="O819" s="103"/>
      <c r="P819" s="103"/>
      <c r="Q819" s="103"/>
    </row>
    <row r="820" spans="1:17" ht="63.75">
      <c r="A820" s="76"/>
      <c r="B820" s="232" t="s">
        <v>436</v>
      </c>
      <c r="C820" s="13"/>
      <c r="D820" s="23"/>
      <c r="E820" s="19"/>
      <c r="F820" s="30"/>
      <c r="G820" s="186"/>
      <c r="I820" s="103"/>
      <c r="J820" s="103"/>
      <c r="K820" s="103"/>
      <c r="L820" s="103"/>
      <c r="M820" s="103"/>
      <c r="N820" s="103"/>
      <c r="O820" s="103"/>
      <c r="P820" s="103"/>
      <c r="Q820" s="103"/>
    </row>
    <row r="821" spans="1:17" ht="114.75">
      <c r="A821" s="32"/>
      <c r="B821" s="112" t="s">
        <v>437</v>
      </c>
      <c r="C821" s="13"/>
      <c r="D821" s="23"/>
      <c r="E821" s="19"/>
      <c r="F821" s="30"/>
      <c r="G821" s="186"/>
      <c r="I821" s="110"/>
      <c r="J821" s="325"/>
      <c r="K821" s="138"/>
      <c r="L821" s="103"/>
      <c r="M821" s="103"/>
      <c r="N821" s="103"/>
      <c r="O821" s="103"/>
      <c r="P821" s="103"/>
      <c r="Q821" s="103"/>
    </row>
    <row r="822" spans="1:17" s="103" customFormat="1" ht="51">
      <c r="A822" s="32"/>
      <c r="B822" s="33" t="s">
        <v>464</v>
      </c>
      <c r="C822" s="13"/>
      <c r="D822" s="23"/>
      <c r="E822" s="19"/>
      <c r="F822" s="30"/>
      <c r="G822" s="186"/>
      <c r="I822" s="110"/>
      <c r="J822" s="325"/>
      <c r="K822" s="138"/>
    </row>
    <row r="823" spans="1:17" s="103" customFormat="1" ht="51">
      <c r="A823" s="32"/>
      <c r="B823" s="33" t="s">
        <v>216</v>
      </c>
      <c r="C823" s="13"/>
      <c r="D823" s="23"/>
      <c r="E823" s="19"/>
      <c r="F823" s="30"/>
      <c r="G823" s="186"/>
      <c r="I823" s="110"/>
      <c r="J823" s="325"/>
      <c r="K823" s="138"/>
    </row>
    <row r="824" spans="1:17" s="103" customFormat="1" ht="38.25">
      <c r="A824" s="198"/>
      <c r="B824" s="326" t="s">
        <v>465</v>
      </c>
      <c r="C824" s="221"/>
      <c r="D824" s="222"/>
      <c r="E824" s="210"/>
      <c r="F824" s="212"/>
      <c r="G824" s="186"/>
      <c r="I824" s="110"/>
      <c r="J824" s="325"/>
      <c r="K824" s="138"/>
    </row>
    <row r="825" spans="1:17" s="103" customFormat="1">
      <c r="A825" s="32"/>
      <c r="B825" s="16"/>
      <c r="C825" s="13"/>
      <c r="D825" s="23"/>
      <c r="E825" s="19"/>
      <c r="F825" s="30"/>
      <c r="G825" s="186"/>
      <c r="I825" s="110"/>
      <c r="J825" s="325"/>
      <c r="K825" s="138"/>
    </row>
    <row r="826" spans="1:17" s="103" customFormat="1">
      <c r="A826" s="161" t="s">
        <v>1265</v>
      </c>
      <c r="B826" s="17" t="s">
        <v>457</v>
      </c>
      <c r="C826" s="13"/>
      <c r="D826" s="23"/>
      <c r="E826" s="19"/>
      <c r="F826" s="30"/>
      <c r="G826" s="186"/>
      <c r="I826" s="110"/>
      <c r="J826" s="325"/>
      <c r="K826" s="138"/>
    </row>
    <row r="827" spans="1:17" s="103" customFormat="1" ht="25.5">
      <c r="A827" s="32"/>
      <c r="B827" s="16" t="s">
        <v>466</v>
      </c>
      <c r="C827" s="13"/>
      <c r="D827" s="23"/>
      <c r="E827" s="19"/>
      <c r="F827" s="30"/>
      <c r="G827" s="186"/>
      <c r="I827" s="110"/>
      <c r="J827" s="325"/>
      <c r="K827" s="138"/>
    </row>
    <row r="828" spans="1:17" s="103" customFormat="1" ht="25.5">
      <c r="A828" s="32"/>
      <c r="B828" s="16" t="s">
        <v>1060</v>
      </c>
      <c r="C828" s="13"/>
      <c r="D828" s="23"/>
      <c r="E828" s="19"/>
      <c r="F828" s="30"/>
      <c r="G828" s="186"/>
      <c r="I828" s="110"/>
      <c r="J828" s="325"/>
      <c r="K828" s="138"/>
    </row>
    <row r="829" spans="1:17" s="103" customFormat="1">
      <c r="A829" s="32"/>
      <c r="B829" s="16"/>
      <c r="C829" s="13"/>
      <c r="D829" s="23"/>
      <c r="E829" s="19"/>
      <c r="F829" s="30"/>
      <c r="G829" s="186"/>
      <c r="I829" s="110"/>
      <c r="J829" s="325"/>
      <c r="K829" s="138"/>
    </row>
    <row r="830" spans="1:17" s="103" customFormat="1">
      <c r="A830" s="32"/>
      <c r="B830" s="22" t="s">
        <v>27</v>
      </c>
      <c r="C830" s="13"/>
      <c r="D830" s="23"/>
      <c r="E830" s="19"/>
      <c r="F830" s="30"/>
      <c r="G830" s="186"/>
      <c r="I830" s="110"/>
      <c r="J830" s="325"/>
      <c r="K830" s="138"/>
    </row>
    <row r="831" spans="1:17" s="103" customFormat="1" ht="38.25">
      <c r="A831" s="32"/>
      <c r="B831" s="23" t="s">
        <v>1061</v>
      </c>
      <c r="C831" s="13"/>
      <c r="D831" s="78">
        <f>2.77*(40.5+14.65+5.18+2.33+2.59+1.58)-(2.85*2.4+1.92*2.67+1*2.1*6+0.9*2.1)</f>
        <v>158.6627</v>
      </c>
      <c r="E831" s="19"/>
      <c r="F831" s="30"/>
      <c r="G831" s="186"/>
      <c r="H831" s="89"/>
      <c r="I831" s="110"/>
      <c r="J831" s="105"/>
      <c r="K831" s="132"/>
    </row>
    <row r="832" spans="1:17" s="103" customFormat="1">
      <c r="A832" s="32"/>
      <c r="B832" s="22"/>
      <c r="C832" s="13"/>
      <c r="D832" s="23"/>
      <c r="E832" s="19"/>
      <c r="F832" s="30"/>
      <c r="G832" s="186"/>
      <c r="I832" s="110"/>
      <c r="J832" s="89"/>
      <c r="K832" s="132"/>
    </row>
    <row r="833" spans="1:17" s="103" customFormat="1">
      <c r="A833" s="32"/>
      <c r="B833" s="22" t="s">
        <v>360</v>
      </c>
      <c r="C833" s="13"/>
      <c r="D833" s="23"/>
      <c r="E833" s="19"/>
      <c r="F833" s="30"/>
      <c r="G833" s="186"/>
      <c r="I833" s="110"/>
      <c r="J833" s="89"/>
      <c r="K833" s="132"/>
    </row>
    <row r="834" spans="1:17" s="103" customFormat="1" ht="25.5">
      <c r="A834" s="32"/>
      <c r="B834" s="23" t="s">
        <v>1062</v>
      </c>
      <c r="C834" s="13"/>
      <c r="D834" s="78">
        <f>2.77*(42.3+15.6+2.33+2.59+1.58)-(2.85*2.4+1.62*2.4+1*2.1*7)</f>
        <v>152.95999999999998</v>
      </c>
      <c r="E834" s="19"/>
      <c r="F834" s="30"/>
      <c r="G834" s="186"/>
      <c r="H834" s="89"/>
      <c r="I834" s="110"/>
      <c r="J834" s="105"/>
      <c r="K834" s="132"/>
    </row>
    <row r="835" spans="1:17" s="103" customFormat="1">
      <c r="A835" s="32"/>
      <c r="B835" s="22"/>
      <c r="C835" s="13"/>
      <c r="D835" s="23"/>
      <c r="E835" s="19"/>
      <c r="F835" s="30"/>
      <c r="G835" s="186"/>
      <c r="I835" s="110"/>
      <c r="J835" s="89"/>
      <c r="K835" s="132"/>
    </row>
    <row r="836" spans="1:17" s="103" customFormat="1">
      <c r="A836" s="32"/>
      <c r="B836" s="22" t="s">
        <v>361</v>
      </c>
      <c r="C836" s="13"/>
      <c r="D836" s="23"/>
      <c r="E836" s="19"/>
      <c r="F836" s="30"/>
      <c r="G836" s="186"/>
      <c r="I836" s="110"/>
      <c r="J836" s="89"/>
      <c r="K836" s="132"/>
    </row>
    <row r="837" spans="1:17" s="103" customFormat="1" ht="25.5">
      <c r="A837" s="32"/>
      <c r="B837" s="23" t="s">
        <v>1063</v>
      </c>
      <c r="C837" s="13"/>
      <c r="D837" s="78">
        <f>2.77*(42.3+15.6+2.33+2.59+1.58)*3-(2.85*2.4+1.62*2.4+1*2.1*7)*3</f>
        <v>458.88</v>
      </c>
      <c r="E837" s="19"/>
      <c r="F837" s="30"/>
      <c r="G837" s="186"/>
      <c r="H837" s="89"/>
      <c r="I837" s="110"/>
      <c r="J837" s="105"/>
      <c r="K837" s="132"/>
    </row>
    <row r="838" spans="1:17">
      <c r="A838" s="32"/>
      <c r="B838" s="16"/>
      <c r="C838" s="13"/>
      <c r="D838" s="23"/>
      <c r="E838" s="19"/>
      <c r="F838" s="30"/>
      <c r="G838" s="186"/>
      <c r="H838" s="8"/>
      <c r="I838" s="110"/>
      <c r="J838" s="89"/>
      <c r="K838" s="132"/>
      <c r="L838" s="103"/>
      <c r="M838" s="103"/>
      <c r="N838" s="103"/>
      <c r="O838" s="103"/>
      <c r="P838" s="103"/>
      <c r="Q838" s="103"/>
    </row>
    <row r="839" spans="1:17">
      <c r="A839" s="76"/>
      <c r="B839" s="162" t="s">
        <v>1266</v>
      </c>
      <c r="C839" s="13" t="s">
        <v>38</v>
      </c>
      <c r="D839" s="23">
        <f>SUM(D831:D837)</f>
        <v>770.5027</v>
      </c>
      <c r="E839" s="16"/>
      <c r="F839" s="30">
        <f>D839*E839</f>
        <v>0</v>
      </c>
      <c r="G839" s="193"/>
      <c r="H839" s="406"/>
      <c r="I839" s="110"/>
      <c r="J839" s="89"/>
      <c r="K839" s="8"/>
      <c r="L839" s="103"/>
      <c r="M839" s="103"/>
      <c r="N839" s="103"/>
      <c r="O839" s="103"/>
      <c r="P839" s="103"/>
      <c r="Q839" s="103"/>
    </row>
    <row r="840" spans="1:17">
      <c r="A840" s="76"/>
      <c r="B840" s="22"/>
      <c r="C840" s="13"/>
      <c r="D840" s="23"/>
      <c r="E840" s="10"/>
      <c r="F840" s="30"/>
      <c r="G840" s="186"/>
      <c r="H840" s="9"/>
      <c r="I840" s="103"/>
      <c r="J840" s="125"/>
      <c r="K840" s="112"/>
      <c r="L840" s="103"/>
      <c r="M840" s="103"/>
      <c r="N840" s="103"/>
      <c r="O840" s="103"/>
      <c r="P840" s="103"/>
      <c r="Q840" s="103"/>
    </row>
    <row r="841" spans="1:17">
      <c r="A841" s="161" t="s">
        <v>1267</v>
      </c>
      <c r="B841" s="17" t="s">
        <v>467</v>
      </c>
      <c r="C841" s="13"/>
      <c r="D841" s="23"/>
      <c r="E841" s="19"/>
      <c r="F841" s="30"/>
      <c r="G841" s="186"/>
      <c r="H841" s="9"/>
      <c r="I841" s="327"/>
      <c r="J841" s="103"/>
      <c r="K841" s="103"/>
      <c r="L841" s="103"/>
      <c r="M841" s="103"/>
      <c r="N841" s="103"/>
      <c r="O841" s="103"/>
      <c r="P841" s="103"/>
      <c r="Q841" s="103"/>
    </row>
    <row r="842" spans="1:17">
      <c r="A842" s="32"/>
      <c r="B842" s="16" t="s">
        <v>468</v>
      </c>
      <c r="C842" s="13"/>
      <c r="D842" s="23"/>
      <c r="E842" s="19"/>
      <c r="F842" s="30"/>
      <c r="G842" s="186"/>
      <c r="H842" s="9"/>
      <c r="I842" s="89"/>
      <c r="J842" s="103"/>
      <c r="K842" s="328"/>
      <c r="L842" s="103"/>
      <c r="M842" s="103"/>
      <c r="N842" s="103"/>
      <c r="O842" s="103"/>
      <c r="P842" s="103"/>
      <c r="Q842" s="103"/>
    </row>
    <row r="843" spans="1:17" ht="25.5">
      <c r="A843" s="32"/>
      <c r="B843" s="16" t="s">
        <v>469</v>
      </c>
      <c r="C843" s="13"/>
      <c r="D843" s="23"/>
      <c r="E843" s="19"/>
      <c r="F843" s="30"/>
      <c r="G843" s="186"/>
      <c r="H843" s="9"/>
      <c r="I843" s="89"/>
      <c r="J843" s="103"/>
      <c r="K843" s="328"/>
      <c r="L843" s="103"/>
      <c r="M843" s="103"/>
      <c r="N843" s="103"/>
      <c r="O843" s="103"/>
      <c r="P843" s="103"/>
      <c r="Q843" s="103"/>
    </row>
    <row r="844" spans="1:17">
      <c r="A844" s="32"/>
      <c r="B844" s="16"/>
      <c r="C844" s="13"/>
      <c r="D844" s="23"/>
      <c r="E844" s="19"/>
      <c r="F844" s="30"/>
      <c r="G844" s="186"/>
      <c r="H844" s="9"/>
      <c r="I844" s="89"/>
      <c r="J844" s="103"/>
      <c r="K844" s="328"/>
      <c r="L844" s="103"/>
      <c r="M844" s="103"/>
      <c r="N844" s="103"/>
      <c r="O844" s="103"/>
      <c r="P844" s="103"/>
      <c r="Q844" s="103"/>
    </row>
    <row r="845" spans="1:17">
      <c r="A845" s="32"/>
      <c r="B845" s="22" t="s">
        <v>27</v>
      </c>
      <c r="C845" s="13"/>
      <c r="D845" s="23"/>
      <c r="E845" s="19"/>
      <c r="F845" s="30"/>
      <c r="G845" s="186"/>
      <c r="H845" s="9"/>
      <c r="I845" s="89"/>
      <c r="J845" s="125"/>
      <c r="K845" s="105"/>
      <c r="L845" s="103"/>
      <c r="M845" s="103"/>
      <c r="N845" s="103"/>
      <c r="O845" s="103"/>
      <c r="P845" s="103"/>
      <c r="Q845" s="103"/>
    </row>
    <row r="846" spans="1:17">
      <c r="A846" s="32"/>
      <c r="B846" s="23" t="s">
        <v>1064</v>
      </c>
      <c r="C846" s="13"/>
      <c r="D846" s="78">
        <f>2.77*(3.96+1.1+2.68+2.35+4.5+4.18)</f>
        <v>51.992899999999999</v>
      </c>
      <c r="E846" s="19"/>
      <c r="F846" s="30"/>
      <c r="G846" s="186"/>
      <c r="H846" s="9"/>
      <c r="I846" s="89"/>
      <c r="J846" s="125"/>
      <c r="K846" s="105"/>
      <c r="L846" s="103"/>
      <c r="M846" s="103"/>
      <c r="N846" s="103"/>
      <c r="O846" s="103"/>
      <c r="P846" s="103"/>
      <c r="Q846" s="103"/>
    </row>
    <row r="847" spans="1:17">
      <c r="A847" s="32"/>
      <c r="B847" s="22"/>
      <c r="C847" s="13"/>
      <c r="D847" s="23"/>
      <c r="E847" s="19"/>
      <c r="F847" s="30"/>
      <c r="G847" s="186"/>
      <c r="H847" s="9"/>
      <c r="I847" s="89"/>
      <c r="J847" s="125"/>
      <c r="K847" s="105"/>
      <c r="L847" s="103"/>
      <c r="M847" s="103"/>
      <c r="N847" s="103"/>
      <c r="O847" s="103"/>
      <c r="P847" s="103"/>
      <c r="Q847" s="103"/>
    </row>
    <row r="848" spans="1:17">
      <c r="A848" s="32"/>
      <c r="B848" s="22" t="s">
        <v>360</v>
      </c>
      <c r="C848" s="13"/>
      <c r="D848" s="23"/>
      <c r="E848" s="19"/>
      <c r="F848" s="30"/>
      <c r="G848" s="186"/>
      <c r="H848" s="9"/>
      <c r="I848" s="89"/>
      <c r="J848" s="125"/>
      <c r="K848" s="105"/>
      <c r="L848" s="103"/>
      <c r="M848" s="103"/>
      <c r="N848" s="103"/>
      <c r="O848" s="103"/>
      <c r="P848" s="103"/>
      <c r="Q848" s="103"/>
    </row>
    <row r="849" spans="1:17" ht="25.5">
      <c r="A849" s="32"/>
      <c r="B849" s="23" t="s">
        <v>1065</v>
      </c>
      <c r="C849" s="13"/>
      <c r="D849" s="78">
        <f>2.77*(4.5+2.35+2.68+3.96+1.1+2.2+2.25+4.05)</f>
        <v>63.959299999999999</v>
      </c>
      <c r="E849" s="19"/>
      <c r="F849" s="30"/>
      <c r="G849" s="186"/>
      <c r="H849" s="9"/>
      <c r="I849" s="89"/>
      <c r="J849" s="125"/>
      <c r="K849" s="105"/>
      <c r="L849" s="103"/>
      <c r="M849" s="103"/>
      <c r="N849" s="103"/>
      <c r="O849" s="103"/>
      <c r="P849" s="103"/>
      <c r="Q849" s="103"/>
    </row>
    <row r="850" spans="1:17" s="103" customFormat="1">
      <c r="A850" s="32"/>
      <c r="B850" s="22"/>
      <c r="C850" s="13"/>
      <c r="D850" s="23"/>
      <c r="E850" s="19"/>
      <c r="F850" s="30"/>
      <c r="G850" s="186"/>
      <c r="H850" s="9"/>
      <c r="I850" s="327"/>
      <c r="J850" s="327"/>
      <c r="K850" s="329"/>
    </row>
    <row r="851" spans="1:17">
      <c r="A851" s="186"/>
      <c r="B851" s="22" t="s">
        <v>361</v>
      </c>
      <c r="C851" s="13"/>
      <c r="D851" s="23"/>
      <c r="E851" s="19"/>
      <c r="F851" s="30"/>
      <c r="G851" s="186"/>
      <c r="I851" s="327"/>
      <c r="J851" s="327"/>
      <c r="K851" s="329"/>
      <c r="L851" s="103"/>
      <c r="M851" s="103"/>
      <c r="N851" s="103"/>
      <c r="O851" s="103"/>
      <c r="P851" s="103"/>
      <c r="Q851" s="103"/>
    </row>
    <row r="852" spans="1:17" ht="25.5">
      <c r="A852" s="32"/>
      <c r="B852" s="23" t="s">
        <v>1066</v>
      </c>
      <c r="C852" s="13"/>
      <c r="D852" s="78">
        <f>2.77*(4.5+2.35+2.68+3.96+1.1+2.2+2.25+4.05)*3</f>
        <v>191.87790000000001</v>
      </c>
      <c r="E852" s="19"/>
      <c r="F852" s="30"/>
      <c r="G852" s="186"/>
      <c r="I852" s="327"/>
      <c r="J852" s="327"/>
      <c r="K852" s="329"/>
      <c r="L852" s="103"/>
      <c r="M852" s="103"/>
      <c r="N852" s="103"/>
      <c r="O852" s="103"/>
      <c r="P852" s="103"/>
      <c r="Q852" s="103"/>
    </row>
    <row r="853" spans="1:17" s="103" customFormat="1">
      <c r="A853" s="32"/>
      <c r="B853" s="16"/>
      <c r="C853" s="13"/>
      <c r="D853" s="23"/>
      <c r="E853" s="19"/>
      <c r="F853" s="30"/>
      <c r="G853" s="186"/>
      <c r="I853" s="327"/>
      <c r="J853" s="327"/>
      <c r="K853" s="329"/>
    </row>
    <row r="854" spans="1:17">
      <c r="A854" s="32"/>
      <c r="B854" s="162" t="s">
        <v>1268</v>
      </c>
      <c r="C854" s="13" t="s">
        <v>38</v>
      </c>
      <c r="D854" s="23">
        <f>SUM(D845:D852)</f>
        <v>307.83010000000002</v>
      </c>
      <c r="E854" s="16"/>
      <c r="F854" s="30">
        <f>D854*E854</f>
        <v>0</v>
      </c>
      <c r="G854" s="193"/>
      <c r="I854" s="327"/>
      <c r="J854" s="327"/>
      <c r="K854" s="329"/>
      <c r="L854" s="103"/>
      <c r="M854" s="103"/>
      <c r="N854" s="103"/>
      <c r="O854" s="103"/>
      <c r="P854" s="103"/>
      <c r="Q854" s="103"/>
    </row>
    <row r="855" spans="1:17">
      <c r="A855" s="32"/>
      <c r="B855" s="23"/>
      <c r="C855" s="81"/>
      <c r="D855" s="23"/>
      <c r="E855" s="14"/>
      <c r="F855" s="30"/>
      <c r="G855" s="186"/>
      <c r="H855" s="138"/>
      <c r="I855" s="327"/>
      <c r="J855" s="327"/>
      <c r="K855" s="329"/>
      <c r="L855" s="103"/>
      <c r="M855" s="103"/>
      <c r="N855" s="103"/>
      <c r="O855" s="103"/>
      <c r="P855" s="103"/>
      <c r="Q855" s="103"/>
    </row>
    <row r="856" spans="1:17" ht="38.25">
      <c r="A856" s="76" t="s">
        <v>3</v>
      </c>
      <c r="B856" s="225" t="s">
        <v>470</v>
      </c>
      <c r="C856" s="13"/>
      <c r="D856" s="23"/>
      <c r="E856" s="19"/>
      <c r="F856" s="30"/>
      <c r="G856" s="186"/>
      <c r="I856" s="327"/>
      <c r="J856" s="327"/>
      <c r="K856" s="329"/>
      <c r="L856" s="103"/>
      <c r="M856" s="103"/>
      <c r="N856" s="103"/>
      <c r="O856" s="103"/>
      <c r="P856" s="103"/>
      <c r="Q856" s="103"/>
    </row>
    <row r="857" spans="1:17" ht="63.75">
      <c r="A857" s="198"/>
      <c r="B857" s="203" t="s">
        <v>471</v>
      </c>
      <c r="C857" s="221"/>
      <c r="D857" s="222"/>
      <c r="E857" s="210"/>
      <c r="F857" s="212"/>
      <c r="G857" s="186"/>
      <c r="H857" s="9"/>
      <c r="I857" s="327"/>
      <c r="J857" s="327"/>
      <c r="K857" s="329"/>
      <c r="L857" s="103"/>
      <c r="M857" s="103"/>
      <c r="N857" s="103"/>
      <c r="O857" s="103"/>
      <c r="P857" s="103"/>
      <c r="Q857" s="103"/>
    </row>
    <row r="858" spans="1:17">
      <c r="A858" s="32"/>
      <c r="B858" s="112"/>
      <c r="C858" s="13"/>
      <c r="D858" s="23"/>
      <c r="E858" s="19"/>
      <c r="F858" s="30"/>
      <c r="G858" s="186"/>
      <c r="H858" s="9"/>
      <c r="I858" s="327"/>
      <c r="J858" s="327"/>
      <c r="K858" s="329"/>
      <c r="L858" s="103"/>
      <c r="M858" s="103"/>
      <c r="N858" s="103"/>
      <c r="O858" s="103"/>
      <c r="P858" s="103"/>
      <c r="Q858" s="103"/>
    </row>
    <row r="859" spans="1:17" ht="63.75">
      <c r="A859" s="32"/>
      <c r="B859" s="112" t="s">
        <v>472</v>
      </c>
      <c r="C859" s="13"/>
      <c r="D859" s="23"/>
      <c r="E859" s="19"/>
      <c r="F859" s="30"/>
      <c r="G859" s="186"/>
      <c r="H859" s="138"/>
      <c r="I859" s="327"/>
      <c r="J859" s="327"/>
      <c r="K859" s="329"/>
      <c r="L859" s="103"/>
      <c r="M859" s="103"/>
      <c r="N859" s="103"/>
      <c r="O859" s="103"/>
      <c r="P859" s="103"/>
      <c r="Q859" s="103"/>
    </row>
    <row r="860" spans="1:17" ht="38.25">
      <c r="A860" s="32"/>
      <c r="B860" s="112" t="s">
        <v>473</v>
      </c>
      <c r="C860" s="13"/>
      <c r="D860" s="23"/>
      <c r="E860" s="19"/>
      <c r="F860" s="30"/>
      <c r="G860" s="186"/>
      <c r="H860" s="9"/>
      <c r="I860" s="327"/>
      <c r="J860" s="327"/>
      <c r="K860" s="329"/>
      <c r="L860" s="103"/>
      <c r="M860" s="103"/>
      <c r="N860" s="103"/>
      <c r="O860" s="103"/>
      <c r="P860" s="103"/>
      <c r="Q860" s="103"/>
    </row>
    <row r="861" spans="1:17" ht="51">
      <c r="A861" s="32"/>
      <c r="B861" s="33" t="s">
        <v>216</v>
      </c>
      <c r="C861" s="13"/>
      <c r="D861" s="23"/>
      <c r="E861" s="19"/>
      <c r="F861" s="30"/>
      <c r="G861" s="186"/>
      <c r="I861" s="327"/>
      <c r="J861" s="330"/>
      <c r="K861" s="331"/>
      <c r="L861" s="103"/>
      <c r="M861" s="103"/>
      <c r="N861" s="103"/>
      <c r="O861" s="103"/>
      <c r="P861" s="103"/>
      <c r="Q861" s="103"/>
    </row>
    <row r="862" spans="1:17" ht="38.25">
      <c r="A862" s="32"/>
      <c r="B862" s="33" t="s">
        <v>474</v>
      </c>
      <c r="C862" s="13"/>
      <c r="D862" s="23"/>
      <c r="E862" s="19"/>
      <c r="F862" s="30"/>
      <c r="G862" s="186"/>
      <c r="I862" s="332"/>
      <c r="J862" s="330"/>
      <c r="K862" s="331"/>
      <c r="L862" s="103"/>
      <c r="M862" s="103"/>
      <c r="N862" s="103"/>
      <c r="O862" s="103"/>
      <c r="P862" s="103"/>
      <c r="Q862" s="103"/>
    </row>
    <row r="863" spans="1:17">
      <c r="A863" s="32"/>
      <c r="B863" s="16"/>
      <c r="C863" s="13"/>
      <c r="D863" s="23"/>
      <c r="E863" s="19"/>
      <c r="F863" s="30"/>
      <c r="G863" s="186"/>
      <c r="I863" s="327"/>
      <c r="J863" s="327"/>
      <c r="K863" s="332"/>
      <c r="L863" s="103"/>
      <c r="M863" s="103"/>
      <c r="N863" s="103"/>
      <c r="O863" s="103"/>
      <c r="P863" s="103"/>
      <c r="Q863" s="103"/>
    </row>
    <row r="864" spans="1:17">
      <c r="A864" s="32"/>
      <c r="B864" s="16" t="s">
        <v>1070</v>
      </c>
      <c r="C864" s="13"/>
      <c r="D864" s="23"/>
      <c r="E864" s="19"/>
      <c r="F864" s="30"/>
      <c r="G864" s="186"/>
      <c r="I864" s="327"/>
      <c r="J864" s="327"/>
      <c r="K864" s="332"/>
      <c r="L864" s="103"/>
      <c r="M864" s="103"/>
      <c r="N864" s="103"/>
      <c r="O864" s="103"/>
      <c r="P864" s="103"/>
      <c r="Q864" s="103"/>
    </row>
    <row r="865" spans="1:17">
      <c r="A865" s="32"/>
      <c r="B865" s="22" t="s">
        <v>27</v>
      </c>
      <c r="C865" s="13"/>
      <c r="D865" s="23"/>
      <c r="E865" s="19"/>
      <c r="F865" s="30"/>
      <c r="G865" s="186"/>
      <c r="I865" s="327"/>
      <c r="J865" s="327"/>
      <c r="K865" s="332"/>
      <c r="L865" s="103"/>
      <c r="M865" s="103"/>
      <c r="N865" s="103"/>
      <c r="O865" s="103"/>
      <c r="P865" s="103"/>
      <c r="Q865" s="103"/>
    </row>
    <row r="866" spans="1:17">
      <c r="A866" s="32"/>
      <c r="B866" s="23" t="s">
        <v>1075</v>
      </c>
      <c r="C866" s="13"/>
      <c r="D866" s="23">
        <f>2.77*2.32</f>
        <v>6.4263999999999992</v>
      </c>
      <c r="E866" s="19"/>
      <c r="F866" s="30">
        <f>D866*E866</f>
        <v>0</v>
      </c>
      <c r="G866" s="186"/>
      <c r="I866" s="327"/>
      <c r="J866" s="327"/>
      <c r="K866" s="332"/>
      <c r="L866" s="103"/>
      <c r="M866" s="103"/>
      <c r="N866" s="103"/>
      <c r="O866" s="103"/>
      <c r="P866" s="103"/>
      <c r="Q866" s="103"/>
    </row>
    <row r="867" spans="1:17">
      <c r="A867" s="32"/>
      <c r="B867" s="22"/>
      <c r="C867" s="13"/>
      <c r="D867" s="23"/>
      <c r="E867" s="19"/>
      <c r="F867" s="30"/>
      <c r="G867" s="186"/>
      <c r="I867" s="327"/>
      <c r="J867" s="327"/>
      <c r="K867" s="332"/>
      <c r="L867" s="103"/>
      <c r="M867" s="103"/>
      <c r="N867" s="103"/>
      <c r="O867" s="103"/>
      <c r="P867" s="103"/>
      <c r="Q867" s="103"/>
    </row>
    <row r="868" spans="1:17">
      <c r="A868" s="32"/>
      <c r="B868" s="22" t="s">
        <v>360</v>
      </c>
      <c r="C868" s="13"/>
      <c r="D868" s="23"/>
      <c r="E868" s="19"/>
      <c r="F868" s="30"/>
      <c r="G868" s="186"/>
      <c r="I868" s="327"/>
      <c r="J868" s="327"/>
      <c r="K868" s="332"/>
      <c r="L868" s="103"/>
      <c r="M868" s="103"/>
      <c r="N868" s="103"/>
      <c r="O868" s="103"/>
      <c r="P868" s="103"/>
      <c r="Q868" s="103"/>
    </row>
    <row r="869" spans="1:17" s="103" customFormat="1">
      <c r="A869" s="32"/>
      <c r="B869" s="23" t="s">
        <v>1075</v>
      </c>
      <c r="C869" s="13"/>
      <c r="D869" s="23">
        <f>2.77*2.32</f>
        <v>6.4263999999999992</v>
      </c>
      <c r="E869" s="19"/>
      <c r="F869" s="30"/>
      <c r="G869" s="186"/>
      <c r="I869" s="327"/>
      <c r="J869" s="327"/>
      <c r="K869" s="332"/>
    </row>
    <row r="870" spans="1:17">
      <c r="A870" s="32"/>
      <c r="B870" s="22"/>
      <c r="C870" s="13"/>
      <c r="D870" s="23"/>
      <c r="E870" s="19"/>
      <c r="F870" s="30"/>
      <c r="G870" s="186"/>
      <c r="I870" s="327"/>
      <c r="J870" s="327"/>
      <c r="K870" s="332"/>
      <c r="L870" s="103"/>
      <c r="M870" s="103"/>
      <c r="N870" s="103"/>
      <c r="O870" s="103"/>
      <c r="P870" s="103"/>
      <c r="Q870" s="103"/>
    </row>
    <row r="871" spans="1:17">
      <c r="A871" s="32"/>
      <c r="B871" s="22" t="s">
        <v>361</v>
      </c>
      <c r="C871" s="13"/>
      <c r="D871" s="23"/>
      <c r="E871" s="19"/>
      <c r="F871" s="30"/>
      <c r="G871" s="186"/>
      <c r="I871" s="327"/>
      <c r="J871" s="327"/>
      <c r="K871" s="332"/>
      <c r="L871" s="103"/>
      <c r="M871" s="103"/>
      <c r="N871" s="103"/>
      <c r="O871" s="103"/>
      <c r="P871" s="103"/>
      <c r="Q871" s="103"/>
    </row>
    <row r="872" spans="1:17">
      <c r="A872" s="32"/>
      <c r="B872" s="23" t="s">
        <v>1076</v>
      </c>
      <c r="C872" s="13"/>
      <c r="D872" s="23">
        <f>2.77*2.32*3</f>
        <v>19.279199999999996</v>
      </c>
      <c r="E872" s="19"/>
      <c r="F872" s="30"/>
      <c r="G872" s="186"/>
      <c r="I872" s="327"/>
      <c r="J872" s="327"/>
      <c r="K872" s="332"/>
      <c r="L872" s="103"/>
      <c r="M872" s="103"/>
      <c r="N872" s="103"/>
      <c r="O872" s="103"/>
      <c r="P872" s="103"/>
      <c r="Q872" s="103"/>
    </row>
    <row r="873" spans="1:17">
      <c r="A873" s="32"/>
      <c r="B873" s="16"/>
      <c r="C873" s="13"/>
      <c r="D873" s="23"/>
      <c r="E873" s="19"/>
      <c r="F873" s="30"/>
      <c r="G873" s="186"/>
      <c r="I873" s="327"/>
      <c r="J873" s="327"/>
      <c r="K873" s="332"/>
      <c r="L873" s="103"/>
      <c r="M873" s="103"/>
      <c r="N873" s="103"/>
      <c r="O873" s="103"/>
      <c r="P873" s="103"/>
      <c r="Q873" s="103"/>
    </row>
    <row r="874" spans="1:17">
      <c r="A874" s="32"/>
      <c r="B874" s="162" t="s">
        <v>1269</v>
      </c>
      <c r="C874" s="13" t="s">
        <v>38</v>
      </c>
      <c r="D874" s="23">
        <f>SUM(D866:D873)</f>
        <v>32.131999999999991</v>
      </c>
      <c r="E874" s="40"/>
      <c r="F874" s="30">
        <f>D874*E874</f>
        <v>0</v>
      </c>
      <c r="G874" s="193"/>
      <c r="I874" s="327"/>
      <c r="J874" s="327"/>
      <c r="K874" s="332"/>
      <c r="L874" s="103"/>
      <c r="M874" s="103"/>
      <c r="N874" s="103"/>
      <c r="O874" s="103"/>
      <c r="P874" s="103"/>
      <c r="Q874" s="103"/>
    </row>
    <row r="875" spans="1:17">
      <c r="A875" s="32"/>
      <c r="B875" s="80"/>
      <c r="C875" s="22"/>
      <c r="D875" s="22"/>
      <c r="E875" s="22"/>
      <c r="F875" s="30"/>
      <c r="G875" s="186"/>
      <c r="I875" s="327"/>
      <c r="J875" s="327"/>
      <c r="K875" s="332"/>
      <c r="L875" s="103"/>
      <c r="M875" s="103"/>
      <c r="N875" s="103"/>
      <c r="O875" s="103"/>
      <c r="P875" s="103"/>
      <c r="Q875" s="103"/>
    </row>
    <row r="876" spans="1:17" ht="38.25">
      <c r="A876" s="76" t="s">
        <v>162</v>
      </c>
      <c r="B876" s="225" t="s">
        <v>470</v>
      </c>
      <c r="C876" s="13"/>
      <c r="D876" s="23"/>
      <c r="E876" s="19"/>
      <c r="F876" s="30"/>
      <c r="G876" s="186"/>
      <c r="I876" s="327"/>
      <c r="J876" s="327"/>
      <c r="K876" s="332"/>
      <c r="L876" s="103"/>
      <c r="M876" s="103"/>
      <c r="N876" s="103"/>
      <c r="O876" s="103"/>
      <c r="P876" s="103"/>
      <c r="Q876" s="103"/>
    </row>
    <row r="877" spans="1:17" ht="63.75">
      <c r="A877" s="32"/>
      <c r="B877" s="80" t="s">
        <v>471</v>
      </c>
      <c r="C877" s="13"/>
      <c r="D877" s="23"/>
      <c r="E877" s="19"/>
      <c r="F877" s="30"/>
      <c r="G877" s="186"/>
      <c r="I877" s="327"/>
      <c r="J877" s="327"/>
      <c r="K877" s="332"/>
      <c r="L877" s="103"/>
      <c r="M877" s="103"/>
      <c r="N877" s="103"/>
      <c r="O877" s="103"/>
      <c r="P877" s="103"/>
      <c r="Q877" s="103"/>
    </row>
    <row r="878" spans="1:17" ht="63.75">
      <c r="A878" s="32"/>
      <c r="B878" s="112" t="s">
        <v>472</v>
      </c>
      <c r="C878" s="13"/>
      <c r="D878" s="23"/>
      <c r="E878" s="19"/>
      <c r="F878" s="30"/>
      <c r="G878" s="186"/>
      <c r="I878" s="327"/>
      <c r="J878" s="327"/>
      <c r="K878" s="332"/>
      <c r="L878" s="103"/>
      <c r="M878" s="103"/>
      <c r="N878" s="103"/>
      <c r="O878" s="103"/>
      <c r="P878" s="103"/>
      <c r="Q878" s="103"/>
    </row>
    <row r="879" spans="1:17" ht="51">
      <c r="A879" s="32"/>
      <c r="B879" s="33" t="s">
        <v>216</v>
      </c>
      <c r="C879" s="13"/>
      <c r="D879" s="23"/>
      <c r="E879" s="19"/>
      <c r="F879" s="30"/>
      <c r="G879" s="186"/>
      <c r="I879" s="327"/>
      <c r="J879" s="327"/>
      <c r="K879" s="332"/>
      <c r="L879" s="103"/>
      <c r="M879" s="103"/>
      <c r="N879" s="103"/>
      <c r="O879" s="103"/>
      <c r="P879" s="103"/>
      <c r="Q879" s="103"/>
    </row>
    <row r="880" spans="1:17" ht="25.5">
      <c r="A880" s="198"/>
      <c r="B880" s="326" t="s">
        <v>1074</v>
      </c>
      <c r="C880" s="221"/>
      <c r="D880" s="222"/>
      <c r="E880" s="210"/>
      <c r="F880" s="212"/>
      <c r="G880" s="186"/>
      <c r="I880" s="327"/>
      <c r="J880" s="327"/>
      <c r="K880" s="332"/>
      <c r="L880" s="103"/>
    </row>
    <row r="881" spans="1:12">
      <c r="A881" s="32"/>
      <c r="B881" s="16"/>
      <c r="C881" s="13"/>
      <c r="D881" s="23"/>
      <c r="E881" s="19"/>
      <c r="F881" s="30"/>
      <c r="G881" s="186"/>
      <c r="I881" s="327"/>
      <c r="J881" s="327"/>
      <c r="K881" s="332"/>
      <c r="L881" s="103"/>
    </row>
    <row r="882" spans="1:12">
      <c r="A882" s="32"/>
      <c r="B882" s="16" t="s">
        <v>1073</v>
      </c>
      <c r="C882" s="13"/>
      <c r="D882" s="23"/>
      <c r="E882" s="19"/>
      <c r="F882" s="30"/>
      <c r="G882" s="186"/>
      <c r="I882" s="327"/>
      <c r="J882" s="327"/>
      <c r="K882" s="332"/>
      <c r="L882" s="103"/>
    </row>
    <row r="883" spans="1:12">
      <c r="A883" s="32"/>
      <c r="B883" s="22" t="s">
        <v>27</v>
      </c>
      <c r="C883" s="13"/>
      <c r="D883" s="23"/>
      <c r="E883" s="19"/>
      <c r="F883" s="30"/>
      <c r="G883" s="186"/>
      <c r="I883" s="327"/>
      <c r="J883" s="327"/>
      <c r="K883" s="332"/>
      <c r="L883" s="103"/>
    </row>
    <row r="884" spans="1:12">
      <c r="A884" s="32"/>
      <c r="B884" s="23" t="s">
        <v>1071</v>
      </c>
      <c r="C884" s="13"/>
      <c r="D884" s="23">
        <f>2.77*(2.59+1.84)</f>
        <v>12.271099999999999</v>
      </c>
      <c r="E884" s="19"/>
      <c r="F884" s="30">
        <f>D884*E884</f>
        <v>0</v>
      </c>
      <c r="G884" s="186"/>
      <c r="I884" s="327"/>
      <c r="J884" s="327"/>
      <c r="K884" s="332"/>
      <c r="L884" s="103"/>
    </row>
    <row r="885" spans="1:12">
      <c r="A885" s="32"/>
      <c r="B885" s="22"/>
      <c r="C885" s="13"/>
      <c r="D885" s="23"/>
      <c r="E885" s="19"/>
      <c r="F885" s="30"/>
      <c r="G885" s="186"/>
      <c r="I885" s="327"/>
      <c r="J885" s="327"/>
      <c r="K885" s="332"/>
      <c r="L885" s="103"/>
    </row>
    <row r="886" spans="1:12">
      <c r="A886" s="32"/>
      <c r="B886" s="22" t="s">
        <v>360</v>
      </c>
      <c r="C886" s="13"/>
      <c r="D886" s="23"/>
      <c r="E886" s="19"/>
      <c r="F886" s="30"/>
      <c r="G886" s="186"/>
      <c r="I886" s="327"/>
      <c r="J886" s="327"/>
      <c r="K886" s="332"/>
      <c r="L886" s="103"/>
    </row>
    <row r="887" spans="1:12">
      <c r="A887" s="32"/>
      <c r="B887" s="23" t="s">
        <v>1071</v>
      </c>
      <c r="C887" s="13"/>
      <c r="D887" s="23">
        <f>2.77*(2.59+1.84)</f>
        <v>12.271099999999999</v>
      </c>
      <c r="E887" s="19"/>
      <c r="F887" s="30"/>
      <c r="G887" s="186"/>
      <c r="I887" s="327"/>
      <c r="J887" s="327"/>
      <c r="K887" s="332"/>
      <c r="L887" s="103"/>
    </row>
    <row r="888" spans="1:12">
      <c r="A888" s="32"/>
      <c r="B888" s="22"/>
      <c r="C888" s="13"/>
      <c r="D888" s="23"/>
      <c r="E888" s="19"/>
      <c r="F888" s="30"/>
      <c r="G888" s="186"/>
      <c r="I888" s="327"/>
      <c r="J888" s="327"/>
      <c r="K888" s="332"/>
      <c r="L888" s="103"/>
    </row>
    <row r="889" spans="1:12">
      <c r="A889" s="32"/>
      <c r="B889" s="22" t="s">
        <v>361</v>
      </c>
      <c r="C889" s="13"/>
      <c r="D889" s="23"/>
      <c r="E889" s="19"/>
      <c r="F889" s="30"/>
      <c r="G889" s="186"/>
      <c r="I889" s="327"/>
      <c r="J889" s="327"/>
      <c r="K889" s="332"/>
      <c r="L889" s="103"/>
    </row>
    <row r="890" spans="1:12">
      <c r="A890" s="32"/>
      <c r="B890" s="23" t="s">
        <v>1072</v>
      </c>
      <c r="C890" s="13"/>
      <c r="D890" s="23">
        <f>2.77*(2.59+1.84)*3</f>
        <v>36.813299999999998</v>
      </c>
      <c r="E890" s="19"/>
      <c r="F890" s="30"/>
      <c r="G890" s="186"/>
      <c r="I890" s="327"/>
      <c r="J890" s="327"/>
      <c r="K890" s="332"/>
      <c r="L890" s="103"/>
    </row>
    <row r="891" spans="1:12">
      <c r="A891" s="32"/>
      <c r="B891" s="16"/>
      <c r="C891" s="13"/>
      <c r="D891" s="23"/>
      <c r="E891" s="19"/>
      <c r="F891" s="30"/>
      <c r="G891" s="186"/>
      <c r="I891" s="327"/>
      <c r="J891" s="327"/>
      <c r="K891" s="332"/>
      <c r="L891" s="103"/>
    </row>
    <row r="892" spans="1:12">
      <c r="A892" s="32"/>
      <c r="B892" s="162" t="s">
        <v>611</v>
      </c>
      <c r="C892" s="13" t="s">
        <v>38</v>
      </c>
      <c r="D892" s="23">
        <f>SUM(D884:D890)</f>
        <v>61.355499999999992</v>
      </c>
      <c r="E892" s="40"/>
      <c r="F892" s="30">
        <f>D892*E892</f>
        <v>0</v>
      </c>
      <c r="G892" s="193"/>
      <c r="I892" s="327"/>
      <c r="J892" s="327"/>
      <c r="K892" s="332"/>
      <c r="L892" s="103"/>
    </row>
    <row r="893" spans="1:12">
      <c r="A893" s="32"/>
      <c r="B893" s="80"/>
      <c r="C893" s="22"/>
      <c r="D893" s="22"/>
      <c r="E893" s="22"/>
      <c r="F893" s="30"/>
      <c r="G893" s="186"/>
      <c r="I893" s="327"/>
      <c r="J893" s="327"/>
      <c r="K893" s="332"/>
      <c r="L893" s="103"/>
    </row>
    <row r="894" spans="1:12" ht="51">
      <c r="A894" s="76" t="s">
        <v>163</v>
      </c>
      <c r="B894" s="22" t="s">
        <v>475</v>
      </c>
      <c r="C894" s="13"/>
      <c r="D894" s="23"/>
      <c r="E894" s="19"/>
      <c r="F894" s="30"/>
      <c r="G894" s="186"/>
      <c r="I894" s="327"/>
      <c r="J894" s="327"/>
      <c r="K894" s="332"/>
      <c r="L894" s="103"/>
    </row>
    <row r="895" spans="1:12" ht="63.75">
      <c r="A895" s="32"/>
      <c r="B895" s="22" t="s">
        <v>476</v>
      </c>
      <c r="C895" s="13"/>
      <c r="D895" s="23"/>
      <c r="E895" s="19"/>
      <c r="F895" s="30"/>
      <c r="G895" s="186"/>
      <c r="I895" s="327"/>
      <c r="J895" s="327"/>
      <c r="K895" s="332"/>
      <c r="L895" s="103"/>
    </row>
    <row r="896" spans="1:12" ht="25.5">
      <c r="A896" s="32"/>
      <c r="B896" s="22" t="s">
        <v>477</v>
      </c>
      <c r="C896" s="13"/>
      <c r="D896" s="23"/>
      <c r="E896" s="19"/>
      <c r="F896" s="30"/>
      <c r="G896" s="186"/>
      <c r="I896" s="327"/>
      <c r="J896" s="327"/>
      <c r="K896" s="332"/>
      <c r="L896" s="103"/>
    </row>
    <row r="897" spans="1:12">
      <c r="A897" s="32"/>
      <c r="B897" s="34" t="s">
        <v>41</v>
      </c>
      <c r="C897" s="13"/>
      <c r="D897" s="23"/>
      <c r="E897" s="19"/>
      <c r="F897" s="30"/>
      <c r="G897" s="186"/>
      <c r="I897" s="327"/>
      <c r="J897" s="327"/>
      <c r="K897" s="332"/>
      <c r="L897" s="103"/>
    </row>
    <row r="898" spans="1:12">
      <c r="A898" s="32"/>
      <c r="B898" s="34"/>
      <c r="C898" s="13"/>
      <c r="D898" s="23"/>
      <c r="E898" s="19"/>
      <c r="F898" s="30"/>
      <c r="G898" s="186"/>
      <c r="I898" s="327"/>
      <c r="J898" s="327"/>
      <c r="K898" s="332"/>
      <c r="L898" s="103"/>
    </row>
    <row r="899" spans="1:12" ht="25.5">
      <c r="A899" s="32"/>
      <c r="B899" s="22" t="s">
        <v>478</v>
      </c>
      <c r="C899" s="13"/>
      <c r="D899" s="23"/>
      <c r="E899" s="19"/>
      <c r="F899" s="30"/>
      <c r="G899" s="186"/>
      <c r="I899" s="327"/>
      <c r="J899" s="327"/>
      <c r="K899" s="332"/>
      <c r="L899" s="103"/>
    </row>
    <row r="900" spans="1:12" s="103" customFormat="1">
      <c r="A900" s="32"/>
      <c r="B900" s="22"/>
      <c r="C900" s="13"/>
      <c r="D900" s="23"/>
      <c r="E900" s="19"/>
      <c r="F900" s="20"/>
      <c r="G900" s="186"/>
      <c r="I900" s="89"/>
      <c r="J900" s="327"/>
      <c r="K900" s="332"/>
    </row>
    <row r="901" spans="1:12" s="103" customFormat="1">
      <c r="A901" s="32"/>
      <c r="B901" s="23" t="s">
        <v>1077</v>
      </c>
      <c r="C901" s="81" t="s">
        <v>38</v>
      </c>
      <c r="D901" s="23">
        <f>16.14*13.54+6.77*1.62/2*2</f>
        <v>229.50299999999999</v>
      </c>
      <c r="E901" s="10"/>
      <c r="F901" s="30">
        <f>D901*E901</f>
        <v>0</v>
      </c>
      <c r="G901" s="193"/>
      <c r="I901" s="89"/>
      <c r="J901" s="327"/>
      <c r="K901" s="332"/>
    </row>
    <row r="902" spans="1:12" s="103" customFormat="1">
      <c r="A902" s="79"/>
      <c r="B902" s="10"/>
      <c r="C902" s="81"/>
      <c r="D902" s="26"/>
      <c r="E902" s="22"/>
      <c r="F902" s="63"/>
      <c r="G902" s="186"/>
      <c r="I902" s="89"/>
      <c r="J902" s="327"/>
      <c r="K902" s="332"/>
    </row>
    <row r="903" spans="1:12" s="103" customFormat="1" ht="25.5">
      <c r="A903" s="76" t="s">
        <v>147</v>
      </c>
      <c r="B903" s="16" t="s">
        <v>479</v>
      </c>
      <c r="C903" s="81"/>
      <c r="D903" s="26"/>
      <c r="E903" s="22"/>
      <c r="F903" s="63"/>
      <c r="G903" s="186"/>
      <c r="I903" s="89"/>
      <c r="J903" s="327"/>
      <c r="K903" s="332"/>
    </row>
    <row r="904" spans="1:12" s="103" customFormat="1" ht="102">
      <c r="A904" s="32"/>
      <c r="B904" s="16" t="s">
        <v>765</v>
      </c>
      <c r="C904" s="81"/>
      <c r="D904" s="26"/>
      <c r="E904" s="22"/>
      <c r="F904" s="63"/>
      <c r="G904" s="186"/>
      <c r="I904" s="89"/>
      <c r="J904" s="327"/>
      <c r="K904" s="332"/>
    </row>
    <row r="905" spans="1:12" s="103" customFormat="1" ht="38.25">
      <c r="A905" s="32"/>
      <c r="B905" s="16" t="s">
        <v>480</v>
      </c>
      <c r="C905" s="81"/>
      <c r="D905" s="26"/>
      <c r="E905" s="22"/>
      <c r="F905" s="63"/>
      <c r="G905" s="186"/>
      <c r="I905" s="89"/>
      <c r="J905" s="327"/>
      <c r="K905" s="332"/>
    </row>
    <row r="906" spans="1:12" s="103" customFormat="1" ht="76.5">
      <c r="A906" s="198"/>
      <c r="B906" s="326" t="s">
        <v>481</v>
      </c>
      <c r="C906" s="208"/>
      <c r="D906" s="209"/>
      <c r="E906" s="196"/>
      <c r="F906" s="197"/>
      <c r="G906" s="186"/>
      <c r="I906" s="89"/>
      <c r="J906" s="327"/>
      <c r="K906" s="332"/>
    </row>
    <row r="907" spans="1:12" s="103" customFormat="1">
      <c r="A907" s="32"/>
      <c r="B907" s="33"/>
      <c r="C907" s="81"/>
      <c r="D907" s="26"/>
      <c r="E907" s="22"/>
      <c r="F907" s="63"/>
      <c r="G907" s="186"/>
      <c r="I907" s="89"/>
      <c r="J907" s="327"/>
      <c r="K907" s="332"/>
    </row>
    <row r="908" spans="1:12" s="103" customFormat="1" ht="51">
      <c r="A908" s="32"/>
      <c r="B908" s="33" t="s">
        <v>482</v>
      </c>
      <c r="C908" s="81"/>
      <c r="D908" s="26"/>
      <c r="E908" s="22"/>
      <c r="F908" s="63"/>
      <c r="G908" s="186"/>
      <c r="I908" s="89"/>
      <c r="J908" s="327"/>
      <c r="K908" s="332"/>
    </row>
    <row r="909" spans="1:12" s="103" customFormat="1">
      <c r="A909" s="32"/>
      <c r="B909" s="33" t="s">
        <v>483</v>
      </c>
      <c r="C909" s="81"/>
      <c r="D909" s="26"/>
      <c r="E909" s="22"/>
      <c r="F909" s="63"/>
      <c r="G909" s="186"/>
      <c r="I909" s="89"/>
      <c r="J909" s="327"/>
      <c r="K909" s="332"/>
    </row>
    <row r="910" spans="1:12" s="103" customFormat="1">
      <c r="A910" s="32"/>
      <c r="B910" s="162"/>
      <c r="C910" s="81"/>
      <c r="D910" s="26"/>
      <c r="E910" s="22"/>
      <c r="F910" s="63"/>
      <c r="G910" s="186"/>
      <c r="I910" s="89"/>
      <c r="J910" s="327"/>
      <c r="K910" s="332"/>
    </row>
    <row r="911" spans="1:12" s="103" customFormat="1">
      <c r="A911" s="32"/>
      <c r="B911" s="162" t="s">
        <v>484</v>
      </c>
      <c r="C911" s="81"/>
      <c r="D911" s="26"/>
      <c r="E911" s="22"/>
      <c r="F911" s="63"/>
      <c r="G911" s="186"/>
      <c r="I911" s="89"/>
      <c r="J911" s="327"/>
      <c r="K911" s="332"/>
    </row>
    <row r="912" spans="1:12" s="103" customFormat="1">
      <c r="A912" s="32"/>
      <c r="B912" s="15" t="s">
        <v>1078</v>
      </c>
      <c r="C912" s="81" t="s">
        <v>38</v>
      </c>
      <c r="D912" s="23">
        <f>2.95*1.65</f>
        <v>4.8674999999999997</v>
      </c>
      <c r="E912" s="10"/>
      <c r="F912" s="30">
        <f>D912*E912</f>
        <v>0</v>
      </c>
      <c r="G912" s="193"/>
      <c r="H912" s="9"/>
      <c r="I912" s="89"/>
      <c r="J912" s="327"/>
      <c r="K912" s="332"/>
    </row>
    <row r="913" spans="1:11" s="103" customFormat="1">
      <c r="A913" s="32"/>
      <c r="B913" s="10"/>
      <c r="C913" s="81"/>
      <c r="D913" s="26"/>
      <c r="E913" s="22"/>
      <c r="F913" s="63"/>
      <c r="G913" s="186"/>
      <c r="I913" s="89"/>
      <c r="J913" s="327"/>
      <c r="K913" s="332"/>
    </row>
    <row r="914" spans="1:11" s="103" customFormat="1" ht="38.25">
      <c r="A914" s="76" t="s">
        <v>148</v>
      </c>
      <c r="B914" s="16" t="s">
        <v>485</v>
      </c>
      <c r="C914" s="81"/>
      <c r="D914" s="26"/>
      <c r="E914" s="22"/>
      <c r="F914" s="63"/>
      <c r="G914" s="186"/>
      <c r="I914" s="89"/>
      <c r="J914" s="327"/>
      <c r="K914" s="332"/>
    </row>
    <row r="915" spans="1:11" s="103" customFormat="1" ht="38.25">
      <c r="A915" s="32"/>
      <c r="B915" s="16" t="s">
        <v>486</v>
      </c>
      <c r="C915" s="81"/>
      <c r="D915" s="26"/>
      <c r="E915" s="22"/>
      <c r="F915" s="63"/>
      <c r="G915" s="186"/>
      <c r="I915" s="89"/>
      <c r="J915" s="327"/>
      <c r="K915" s="332"/>
    </row>
    <row r="916" spans="1:11" s="103" customFormat="1" ht="38.25">
      <c r="A916" s="32"/>
      <c r="B916" s="21" t="s">
        <v>487</v>
      </c>
      <c r="C916" s="81"/>
      <c r="D916" s="26"/>
      <c r="E916" s="22"/>
      <c r="F916" s="63"/>
      <c r="G916" s="186"/>
      <c r="I916" s="89"/>
      <c r="J916" s="327"/>
      <c r="K916" s="332"/>
    </row>
    <row r="917" spans="1:11" s="103" customFormat="1" ht="38.25">
      <c r="A917" s="32"/>
      <c r="B917" s="140" t="s">
        <v>488</v>
      </c>
      <c r="C917" s="81"/>
      <c r="D917" s="26"/>
      <c r="E917" s="22"/>
      <c r="F917" s="63"/>
      <c r="G917" s="186"/>
      <c r="I917" s="89"/>
      <c r="J917" s="327"/>
      <c r="K917" s="332"/>
    </row>
    <row r="918" spans="1:11" s="103" customFormat="1">
      <c r="A918" s="32"/>
      <c r="B918" s="21" t="s">
        <v>489</v>
      </c>
      <c r="C918" s="81"/>
      <c r="D918" s="26"/>
      <c r="E918" s="22"/>
      <c r="F918" s="63"/>
      <c r="G918" s="186"/>
      <c r="I918" s="89"/>
      <c r="J918" s="327"/>
      <c r="K918" s="332"/>
    </row>
    <row r="919" spans="1:11" s="103" customFormat="1" ht="38.25">
      <c r="A919" s="32"/>
      <c r="B919" s="103" t="s">
        <v>490</v>
      </c>
      <c r="C919" s="81"/>
      <c r="D919" s="21"/>
      <c r="E919" s="22"/>
      <c r="F919" s="63"/>
      <c r="G919" s="186"/>
      <c r="I919" s="89"/>
      <c r="J919" s="327"/>
      <c r="K919" s="332"/>
    </row>
    <row r="920" spans="1:11" s="103" customFormat="1" ht="51">
      <c r="A920" s="32"/>
      <c r="B920" s="33" t="s">
        <v>482</v>
      </c>
      <c r="C920" s="81"/>
      <c r="D920" s="26"/>
      <c r="E920" s="22"/>
      <c r="F920" s="63"/>
      <c r="G920" s="186"/>
      <c r="I920" s="89"/>
      <c r="J920" s="327"/>
      <c r="K920" s="332"/>
    </row>
    <row r="921" spans="1:11" s="103" customFormat="1">
      <c r="A921" s="32"/>
      <c r="B921" s="33" t="s">
        <v>483</v>
      </c>
      <c r="C921" s="81"/>
      <c r="D921" s="26"/>
      <c r="E921" s="22"/>
      <c r="F921" s="63"/>
      <c r="G921" s="186"/>
      <c r="I921" s="89"/>
      <c r="J921" s="327"/>
      <c r="K921" s="332"/>
    </row>
    <row r="922" spans="1:11" s="103" customFormat="1">
      <c r="A922" s="32"/>
      <c r="B922" s="16"/>
      <c r="C922" s="81"/>
      <c r="D922" s="21"/>
      <c r="E922" s="22"/>
      <c r="F922" s="63"/>
      <c r="G922" s="186"/>
      <c r="I922" s="89"/>
      <c r="J922" s="327"/>
      <c r="K922" s="332"/>
    </row>
    <row r="923" spans="1:11" s="103" customFormat="1" ht="25.5">
      <c r="A923" s="79" t="s">
        <v>280</v>
      </c>
      <c r="B923" s="16" t="s">
        <v>766</v>
      </c>
      <c r="C923" s="81"/>
      <c r="D923" s="26"/>
      <c r="E923" s="22"/>
      <c r="F923" s="63"/>
      <c r="G923" s="186"/>
      <c r="I923" s="89"/>
      <c r="J923" s="327"/>
      <c r="K923" s="332"/>
    </row>
    <row r="924" spans="1:11" s="103" customFormat="1">
      <c r="A924" s="32"/>
      <c r="B924" s="21" t="s">
        <v>491</v>
      </c>
      <c r="C924" s="81"/>
      <c r="D924" s="26"/>
      <c r="E924" s="22"/>
      <c r="F924" s="63"/>
      <c r="G924" s="186"/>
      <c r="I924" s="89"/>
      <c r="J924" s="327"/>
      <c r="K924" s="332"/>
    </row>
    <row r="925" spans="1:11" s="103" customFormat="1">
      <c r="A925" s="32"/>
      <c r="B925" s="140" t="s">
        <v>492</v>
      </c>
      <c r="C925" s="81"/>
      <c r="D925" s="15"/>
      <c r="E925" s="22"/>
      <c r="F925" s="63"/>
      <c r="G925" s="186"/>
      <c r="I925" s="89"/>
      <c r="J925" s="327"/>
      <c r="K925" s="332"/>
    </row>
    <row r="926" spans="1:11" s="103" customFormat="1">
      <c r="A926" s="32"/>
      <c r="B926" s="21" t="s">
        <v>489</v>
      </c>
      <c r="C926" s="81"/>
      <c r="D926" s="26"/>
      <c r="E926" s="22"/>
      <c r="F926" s="63"/>
      <c r="G926" s="186"/>
      <c r="I926" s="89"/>
      <c r="J926" s="327"/>
      <c r="K926" s="332"/>
    </row>
    <row r="927" spans="1:11" s="103" customFormat="1">
      <c r="A927" s="186"/>
      <c r="B927" s="22"/>
      <c r="C927" s="81"/>
      <c r="D927" s="26"/>
      <c r="E927" s="22"/>
      <c r="F927" s="63"/>
      <c r="G927" s="186"/>
      <c r="I927" s="89"/>
      <c r="J927" s="327"/>
      <c r="K927" s="332"/>
    </row>
    <row r="928" spans="1:11" s="103" customFormat="1">
      <c r="A928" s="108"/>
      <c r="B928" s="22" t="s">
        <v>360</v>
      </c>
      <c r="C928" s="81"/>
      <c r="D928" s="26"/>
      <c r="E928" s="22"/>
      <c r="F928" s="63"/>
      <c r="G928" s="186"/>
      <c r="I928" s="89"/>
      <c r="J928" s="327"/>
      <c r="K928" s="332"/>
    </row>
    <row r="929" spans="1:11" s="103" customFormat="1" ht="25.5">
      <c r="A929" s="32"/>
      <c r="B929" s="23" t="s">
        <v>1079</v>
      </c>
      <c r="C929" s="81"/>
      <c r="D929" s="26">
        <f>64.98+45.56+44.78+30.26+30.42+64.86+35.35</f>
        <v>316.21000000000004</v>
      </c>
      <c r="E929" s="10"/>
      <c r="F929" s="88"/>
      <c r="G929" s="186"/>
      <c r="H929" s="9"/>
      <c r="I929" s="89"/>
      <c r="J929" s="327"/>
      <c r="K929" s="332"/>
    </row>
    <row r="930" spans="1:11" s="103" customFormat="1">
      <c r="A930" s="32"/>
      <c r="B930" s="22"/>
      <c r="C930" s="81"/>
      <c r="D930" s="26"/>
      <c r="E930" s="10"/>
      <c r="F930" s="88"/>
      <c r="G930" s="186"/>
      <c r="H930" s="9"/>
      <c r="I930" s="89"/>
      <c r="J930" s="327"/>
      <c r="K930" s="332"/>
    </row>
    <row r="931" spans="1:11" s="103" customFormat="1">
      <c r="A931" s="32"/>
      <c r="B931" s="22" t="s">
        <v>361</v>
      </c>
      <c r="C931" s="81"/>
      <c r="D931" s="26"/>
      <c r="E931" s="10"/>
      <c r="F931" s="88"/>
      <c r="G931" s="186"/>
      <c r="H931" s="9"/>
      <c r="I931" s="89"/>
      <c r="J931" s="327"/>
      <c r="K931" s="332"/>
    </row>
    <row r="932" spans="1:11" s="103" customFormat="1" ht="25.5">
      <c r="A932" s="32"/>
      <c r="B932" s="23" t="s">
        <v>1080</v>
      </c>
      <c r="C932" s="13"/>
      <c r="D932" s="10">
        <f>(64.98+45.56+44.78+30.26+30.42+64.86+35.35)*3</f>
        <v>948.63000000000011</v>
      </c>
      <c r="E932" s="10"/>
      <c r="F932" s="88"/>
      <c r="G932" s="186"/>
      <c r="H932" s="9"/>
      <c r="I932" s="89"/>
      <c r="J932" s="327"/>
      <c r="K932" s="332"/>
    </row>
    <row r="933" spans="1:11" s="103" customFormat="1">
      <c r="A933" s="32"/>
      <c r="B933" s="10"/>
      <c r="C933" s="81"/>
      <c r="D933" s="26"/>
      <c r="E933" s="10"/>
      <c r="F933" s="88"/>
      <c r="G933" s="186"/>
      <c r="H933" s="9"/>
      <c r="I933" s="89"/>
      <c r="J933" s="327"/>
      <c r="K933" s="332"/>
    </row>
    <row r="934" spans="1:11" s="103" customFormat="1">
      <c r="A934" s="198"/>
      <c r="B934" s="333" t="s">
        <v>612</v>
      </c>
      <c r="C934" s="221" t="s">
        <v>38</v>
      </c>
      <c r="D934" s="222">
        <f>SUM(D929:D932)</f>
        <v>1264.8400000000001</v>
      </c>
      <c r="E934" s="334"/>
      <c r="F934" s="212">
        <f>D934*E934</f>
        <v>0</v>
      </c>
      <c r="G934" s="193"/>
      <c r="H934" s="335"/>
      <c r="I934" s="89"/>
      <c r="J934" s="327"/>
      <c r="K934" s="332"/>
    </row>
    <row r="935" spans="1:11" s="103" customFormat="1">
      <c r="A935" s="32"/>
      <c r="B935" s="16"/>
      <c r="C935" s="13"/>
      <c r="D935" s="23"/>
      <c r="E935" s="19"/>
      <c r="F935" s="30"/>
      <c r="G935" s="186"/>
      <c r="H935" s="124"/>
      <c r="I935" s="89"/>
      <c r="J935" s="327"/>
      <c r="K935" s="332"/>
    </row>
    <row r="936" spans="1:11" s="103" customFormat="1">
      <c r="A936" s="161" t="s">
        <v>1270</v>
      </c>
      <c r="B936" s="16" t="s">
        <v>1081</v>
      </c>
      <c r="C936" s="13"/>
      <c r="D936" s="23"/>
      <c r="E936" s="19"/>
      <c r="F936" s="30"/>
      <c r="G936" s="186"/>
      <c r="H936" s="124"/>
      <c r="I936" s="89"/>
      <c r="J936" s="327"/>
      <c r="K936" s="332"/>
    </row>
    <row r="937" spans="1:11" s="103" customFormat="1">
      <c r="A937" s="161"/>
      <c r="B937" s="21" t="s">
        <v>491</v>
      </c>
      <c r="C937" s="13"/>
      <c r="D937" s="23"/>
      <c r="E937" s="19"/>
      <c r="F937" s="30"/>
      <c r="G937" s="186"/>
      <c r="H937" s="124"/>
      <c r="I937" s="89"/>
      <c r="J937" s="327"/>
      <c r="K937" s="332"/>
    </row>
    <row r="938" spans="1:11" s="103" customFormat="1">
      <c r="A938" s="32"/>
      <c r="B938" s="140" t="s">
        <v>493</v>
      </c>
      <c r="C938" s="13"/>
      <c r="D938" s="23"/>
      <c r="E938" s="19"/>
      <c r="F938" s="30"/>
      <c r="G938" s="186"/>
      <c r="H938" s="124"/>
      <c r="I938" s="89"/>
      <c r="J938" s="327"/>
      <c r="K938" s="332"/>
    </row>
    <row r="939" spans="1:11" s="103" customFormat="1">
      <c r="A939" s="32"/>
      <c r="B939" s="16"/>
      <c r="C939" s="13"/>
      <c r="D939" s="23"/>
      <c r="E939" s="19"/>
      <c r="F939" s="30"/>
      <c r="G939" s="186"/>
      <c r="H939" s="124"/>
      <c r="I939" s="89"/>
      <c r="J939" s="327"/>
      <c r="K939" s="332"/>
    </row>
    <row r="940" spans="1:11" s="103" customFormat="1">
      <c r="A940" s="32"/>
      <c r="B940" s="22" t="s">
        <v>360</v>
      </c>
      <c r="C940" s="13"/>
      <c r="D940" s="23">
        <v>37.340000000000003</v>
      </c>
      <c r="E940" s="19"/>
      <c r="F940" s="30"/>
      <c r="G940" s="186"/>
      <c r="H940" s="124"/>
      <c r="I940" s="89"/>
      <c r="J940" s="327"/>
      <c r="K940" s="332"/>
    </row>
    <row r="941" spans="1:11" s="103" customFormat="1">
      <c r="A941" s="32"/>
      <c r="B941" s="22"/>
      <c r="C941" s="13"/>
      <c r="D941" s="23"/>
      <c r="E941" s="19"/>
      <c r="F941" s="30"/>
      <c r="G941" s="186"/>
      <c r="H941" s="124"/>
      <c r="I941" s="89"/>
      <c r="J941" s="327"/>
      <c r="K941" s="332"/>
    </row>
    <row r="942" spans="1:11" s="103" customFormat="1">
      <c r="A942" s="32"/>
      <c r="B942" s="22" t="s">
        <v>361</v>
      </c>
      <c r="C942" s="13"/>
      <c r="D942" s="23"/>
      <c r="E942" s="19"/>
      <c r="F942" s="30"/>
      <c r="G942" s="186"/>
      <c r="H942" s="124"/>
      <c r="I942" s="89"/>
      <c r="J942" s="327"/>
      <c r="K942" s="332"/>
    </row>
    <row r="943" spans="1:11" s="103" customFormat="1">
      <c r="A943" s="32"/>
      <c r="B943" s="21" t="s">
        <v>846</v>
      </c>
      <c r="C943" s="13"/>
      <c r="D943" s="23">
        <f>37.34*3</f>
        <v>112.02000000000001</v>
      </c>
      <c r="E943" s="19"/>
      <c r="F943" s="30"/>
      <c r="G943" s="186"/>
      <c r="H943" s="124"/>
      <c r="I943" s="89"/>
      <c r="J943" s="327"/>
      <c r="K943" s="332"/>
    </row>
    <row r="944" spans="1:11" s="103" customFormat="1">
      <c r="A944" s="32"/>
      <c r="B944" s="16"/>
      <c r="C944" s="13"/>
      <c r="D944" s="23"/>
      <c r="E944" s="19"/>
      <c r="F944" s="30"/>
      <c r="G944" s="186"/>
      <c r="H944" s="124"/>
      <c r="I944" s="89"/>
      <c r="J944" s="327"/>
      <c r="K944" s="332"/>
    </row>
    <row r="945" spans="1:11" s="103" customFormat="1">
      <c r="A945" s="32"/>
      <c r="B945" s="162" t="s">
        <v>613</v>
      </c>
      <c r="C945" s="13" t="s">
        <v>38</v>
      </c>
      <c r="D945" s="23">
        <f>SUM(D939:D943)</f>
        <v>149.36000000000001</v>
      </c>
      <c r="E945" s="40"/>
      <c r="F945" s="30">
        <f>D945*E945</f>
        <v>0</v>
      </c>
      <c r="G945" s="193"/>
      <c r="H945" s="335"/>
      <c r="I945" s="89"/>
      <c r="J945" s="327"/>
      <c r="K945" s="332"/>
    </row>
    <row r="946" spans="1:11" s="103" customFormat="1">
      <c r="A946" s="32"/>
      <c r="B946" s="10"/>
      <c r="C946" s="81"/>
      <c r="D946" s="26"/>
      <c r="E946" s="10"/>
      <c r="F946" s="63"/>
      <c r="G946" s="186"/>
      <c r="H946" s="9"/>
      <c r="I946" s="89"/>
      <c r="J946" s="327"/>
      <c r="K946" s="332"/>
    </row>
    <row r="947" spans="1:11" s="103" customFormat="1" ht="38.25">
      <c r="A947" s="76" t="s">
        <v>209</v>
      </c>
      <c r="B947" s="16" t="s">
        <v>494</v>
      </c>
      <c r="C947" s="13"/>
      <c r="D947" s="23"/>
      <c r="E947" s="19"/>
      <c r="F947" s="30"/>
      <c r="G947" s="186"/>
      <c r="H947" s="124"/>
      <c r="I947" s="89"/>
      <c r="J947" s="327"/>
      <c r="K947" s="332"/>
    </row>
    <row r="948" spans="1:11" s="103" customFormat="1" ht="38.25">
      <c r="A948" s="32"/>
      <c r="B948" s="16" t="s">
        <v>495</v>
      </c>
      <c r="C948" s="13"/>
      <c r="D948" s="23"/>
      <c r="E948" s="19"/>
      <c r="F948" s="30"/>
      <c r="G948" s="186"/>
      <c r="H948" s="124"/>
      <c r="I948" s="89"/>
      <c r="J948" s="327"/>
      <c r="K948" s="332"/>
    </row>
    <row r="949" spans="1:11" s="103" customFormat="1" ht="38.25">
      <c r="A949" s="32"/>
      <c r="B949" s="21" t="s">
        <v>496</v>
      </c>
      <c r="C949" s="13"/>
      <c r="D949" s="23"/>
      <c r="E949" s="19"/>
      <c r="F949" s="30"/>
      <c r="G949" s="186"/>
      <c r="H949" s="124"/>
      <c r="I949" s="89"/>
      <c r="J949" s="327"/>
      <c r="K949" s="332"/>
    </row>
    <row r="950" spans="1:11" s="103" customFormat="1" ht="25.5">
      <c r="A950" s="32"/>
      <c r="B950" s="21" t="s">
        <v>497</v>
      </c>
      <c r="C950" s="13"/>
      <c r="D950" s="23"/>
      <c r="E950" s="19"/>
      <c r="F950" s="30"/>
      <c r="G950" s="186"/>
      <c r="H950" s="124"/>
      <c r="I950" s="89"/>
      <c r="J950" s="327"/>
      <c r="K950" s="332"/>
    </row>
    <row r="951" spans="1:11" s="103" customFormat="1" ht="51">
      <c r="A951" s="32"/>
      <c r="B951" s="33" t="s">
        <v>482</v>
      </c>
      <c r="C951" s="13"/>
      <c r="D951" s="23"/>
      <c r="E951" s="19"/>
      <c r="F951" s="30"/>
      <c r="G951" s="186"/>
      <c r="H951" s="124"/>
      <c r="I951" s="89"/>
      <c r="J951" s="327"/>
      <c r="K951" s="332"/>
    </row>
    <row r="952" spans="1:11" s="103" customFormat="1">
      <c r="A952" s="32"/>
      <c r="B952" s="33" t="s">
        <v>483</v>
      </c>
      <c r="C952" s="13"/>
      <c r="D952" s="23"/>
      <c r="E952" s="19"/>
      <c r="F952" s="30"/>
      <c r="G952" s="186"/>
      <c r="H952" s="124"/>
      <c r="I952" s="89"/>
      <c r="J952" s="327"/>
      <c r="K952" s="332"/>
    </row>
    <row r="953" spans="1:11" s="103" customFormat="1">
      <c r="A953" s="32"/>
      <c r="B953" s="16"/>
      <c r="C953" s="13"/>
      <c r="D953" s="23"/>
      <c r="E953" s="19"/>
      <c r="F953" s="30"/>
      <c r="G953" s="186"/>
      <c r="H953" s="124"/>
      <c r="I953" s="89"/>
      <c r="J953" s="327"/>
      <c r="K953" s="332"/>
    </row>
    <row r="954" spans="1:11" s="103" customFormat="1">
      <c r="A954" s="32"/>
      <c r="B954" s="10" t="s">
        <v>498</v>
      </c>
      <c r="C954" s="13" t="s">
        <v>38</v>
      </c>
      <c r="D954" s="23">
        <f>456.92-2.1*2.92</f>
        <v>450.78800000000001</v>
      </c>
      <c r="E954" s="40"/>
      <c r="F954" s="30">
        <f>D954*E954</f>
        <v>0</v>
      </c>
      <c r="G954" s="193"/>
      <c r="H954" s="335"/>
      <c r="I954" s="89"/>
      <c r="J954" s="327"/>
      <c r="K954" s="332"/>
    </row>
    <row r="955" spans="1:11" s="103" customFormat="1">
      <c r="A955" s="32"/>
      <c r="B955" s="80"/>
      <c r="C955" s="22"/>
      <c r="D955" s="22"/>
      <c r="E955" s="22"/>
      <c r="F955" s="20"/>
      <c r="G955" s="186"/>
      <c r="I955" s="89"/>
      <c r="J955" s="327"/>
      <c r="K955" s="332"/>
    </row>
    <row r="956" spans="1:11" s="103" customFormat="1" ht="38.25">
      <c r="A956" s="76" t="s">
        <v>212</v>
      </c>
      <c r="B956" s="16" t="s">
        <v>499</v>
      </c>
      <c r="C956" s="13"/>
      <c r="D956" s="23"/>
      <c r="E956" s="19"/>
      <c r="F956" s="185"/>
      <c r="G956" s="186"/>
      <c r="I956" s="89"/>
      <c r="J956" s="327"/>
      <c r="K956" s="332"/>
    </row>
    <row r="957" spans="1:11" s="103" customFormat="1" ht="25.5">
      <c r="A957" s="32"/>
      <c r="B957" s="16" t="s">
        <v>755</v>
      </c>
      <c r="C957" s="13"/>
      <c r="D957" s="23"/>
      <c r="E957" s="19"/>
      <c r="F957" s="30"/>
      <c r="G957" s="186"/>
      <c r="I957" s="89"/>
      <c r="J957" s="327"/>
      <c r="K957" s="332"/>
    </row>
    <row r="958" spans="1:11" s="103" customFormat="1" ht="38.25">
      <c r="A958" s="32"/>
      <c r="B958" s="140" t="s">
        <v>756</v>
      </c>
      <c r="C958" s="13"/>
      <c r="D958" s="23"/>
      <c r="E958" s="19"/>
      <c r="F958" s="30"/>
      <c r="G958" s="186"/>
      <c r="I958" s="89"/>
      <c r="J958" s="327"/>
      <c r="K958" s="332"/>
    </row>
    <row r="959" spans="1:11" s="103" customFormat="1" ht="51">
      <c r="A959" s="32"/>
      <c r="B959" s="33" t="s">
        <v>482</v>
      </c>
      <c r="C959" s="13"/>
      <c r="D959" s="23"/>
      <c r="E959" s="19"/>
      <c r="F959" s="30"/>
      <c r="G959" s="186"/>
      <c r="I959" s="89"/>
      <c r="J959" s="327"/>
      <c r="K959" s="332"/>
    </row>
    <row r="960" spans="1:11" s="103" customFormat="1">
      <c r="A960" s="32"/>
      <c r="B960" s="33" t="s">
        <v>483</v>
      </c>
      <c r="C960" s="13"/>
      <c r="D960" s="23"/>
      <c r="E960" s="19"/>
      <c r="F960" s="30"/>
      <c r="G960" s="186"/>
      <c r="I960" s="89"/>
      <c r="J960" s="327"/>
      <c r="K960" s="332"/>
    </row>
    <row r="961" spans="1:12" s="103" customFormat="1">
      <c r="A961" s="32"/>
      <c r="B961" s="16"/>
      <c r="C961" s="13"/>
      <c r="D961" s="23"/>
      <c r="E961" s="19"/>
      <c r="F961" s="30"/>
      <c r="G961" s="186"/>
      <c r="I961" s="89"/>
      <c r="J961" s="327"/>
      <c r="K961" s="332"/>
    </row>
    <row r="962" spans="1:12" s="103" customFormat="1" ht="38.25">
      <c r="A962" s="32"/>
      <c r="B962" s="16" t="s">
        <v>1146</v>
      </c>
      <c r="C962" s="13"/>
      <c r="D962" s="23"/>
      <c r="E962" s="19"/>
      <c r="F962" s="30"/>
      <c r="G962" s="186"/>
      <c r="I962" s="89"/>
      <c r="J962" s="327"/>
      <c r="K962" s="332"/>
    </row>
    <row r="963" spans="1:12" s="103" customFormat="1">
      <c r="A963" s="32"/>
      <c r="B963" s="22" t="s">
        <v>27</v>
      </c>
      <c r="C963" s="13"/>
      <c r="D963" s="23"/>
      <c r="E963" s="19"/>
      <c r="F963" s="30"/>
      <c r="G963" s="186"/>
      <c r="I963" s="89"/>
      <c r="J963" s="327"/>
      <c r="K963" s="332"/>
    </row>
    <row r="964" spans="1:12" s="103" customFormat="1">
      <c r="A964" s="198"/>
      <c r="B964" s="336" t="s">
        <v>1083</v>
      </c>
      <c r="C964" s="221" t="s">
        <v>38</v>
      </c>
      <c r="D964" s="220">
        <f>64.98+79.88+30.26+30.42+64.86+35.35</f>
        <v>305.75000000000006</v>
      </c>
      <c r="E964" s="215"/>
      <c r="F964" s="212">
        <f>D964*E964</f>
        <v>0</v>
      </c>
      <c r="G964" s="193"/>
      <c r="H964" s="152"/>
      <c r="I964" s="89"/>
      <c r="J964" s="327"/>
      <c r="K964" s="332"/>
    </row>
    <row r="965" spans="1:12">
      <c r="A965" s="32"/>
      <c r="B965" s="22"/>
      <c r="C965" s="13"/>
      <c r="D965" s="23"/>
      <c r="E965" s="10"/>
      <c r="F965" s="88"/>
      <c r="G965" s="186"/>
      <c r="H965" s="9"/>
      <c r="I965" s="103"/>
      <c r="J965" s="103"/>
      <c r="K965" s="103"/>
      <c r="L965" s="103"/>
    </row>
    <row r="966" spans="1:12" ht="38.25">
      <c r="A966" s="76" t="s">
        <v>239</v>
      </c>
      <c r="B966" s="16" t="s">
        <v>501</v>
      </c>
      <c r="C966" s="13"/>
      <c r="D966" s="23"/>
      <c r="E966" s="19"/>
      <c r="F966" s="30"/>
      <c r="G966" s="186"/>
      <c r="I966" s="103"/>
      <c r="J966" s="103"/>
      <c r="K966" s="103"/>
      <c r="L966" s="103"/>
    </row>
    <row r="967" spans="1:12" ht="102">
      <c r="A967" s="32"/>
      <c r="B967" s="16" t="s">
        <v>502</v>
      </c>
      <c r="C967" s="13"/>
      <c r="D967" s="23"/>
      <c r="E967" s="19"/>
      <c r="F967" s="30"/>
      <c r="G967" s="186"/>
      <c r="I967" s="103"/>
      <c r="J967" s="103"/>
      <c r="K967" s="103"/>
      <c r="L967" s="103"/>
    </row>
    <row r="968" spans="1:12" ht="76.5">
      <c r="A968" s="32"/>
      <c r="B968" s="33" t="s">
        <v>481</v>
      </c>
      <c r="C968" s="13"/>
      <c r="D968" s="23"/>
      <c r="E968" s="19"/>
      <c r="F968" s="30"/>
      <c r="G968" s="186"/>
      <c r="I968" s="103"/>
      <c r="J968" s="103"/>
      <c r="K968" s="103"/>
      <c r="L968" s="103"/>
    </row>
    <row r="969" spans="1:12" ht="51">
      <c r="A969" s="32"/>
      <c r="B969" s="33" t="s">
        <v>482</v>
      </c>
      <c r="C969" s="13"/>
      <c r="D969" s="23"/>
      <c r="E969" s="19"/>
      <c r="F969" s="30"/>
      <c r="G969" s="186"/>
      <c r="I969" s="103"/>
      <c r="J969" s="103"/>
      <c r="K969" s="103"/>
      <c r="L969" s="103"/>
    </row>
    <row r="970" spans="1:12" ht="14.25" customHeight="1">
      <c r="A970" s="32"/>
      <c r="B970" s="33" t="s">
        <v>483</v>
      </c>
      <c r="C970" s="13"/>
      <c r="D970" s="23"/>
      <c r="E970" s="19"/>
      <c r="F970" s="30"/>
      <c r="G970" s="186"/>
      <c r="I970" s="103"/>
      <c r="J970" s="103"/>
      <c r="K970" s="103"/>
      <c r="L970" s="103"/>
    </row>
    <row r="971" spans="1:12">
      <c r="A971" s="32"/>
      <c r="B971" s="16"/>
      <c r="C971" s="13"/>
      <c r="D971" s="23"/>
      <c r="E971" s="19"/>
      <c r="F971" s="30"/>
      <c r="G971" s="186"/>
      <c r="I971" s="103"/>
      <c r="J971" s="103"/>
      <c r="K971" s="103"/>
      <c r="L971" s="103"/>
    </row>
    <row r="972" spans="1:12" ht="38.25">
      <c r="A972" s="32"/>
      <c r="B972" s="16" t="s">
        <v>503</v>
      </c>
      <c r="C972" s="13"/>
      <c r="D972" s="23"/>
      <c r="E972" s="19"/>
      <c r="F972" s="30"/>
      <c r="G972" s="186"/>
      <c r="I972" s="103"/>
      <c r="J972" s="103"/>
      <c r="K972" s="103"/>
    </row>
    <row r="973" spans="1:12">
      <c r="A973" s="32"/>
      <c r="B973" s="177" t="s">
        <v>1084</v>
      </c>
      <c r="C973" s="13" t="s">
        <v>38</v>
      </c>
      <c r="D973" s="78">
        <f>4.53+11.97</f>
        <v>16.5</v>
      </c>
      <c r="E973" s="10"/>
      <c r="F973" s="30">
        <f>D973*E973</f>
        <v>0</v>
      </c>
      <c r="G973" s="193"/>
      <c r="I973" s="103"/>
      <c r="J973" s="103"/>
      <c r="K973" s="103"/>
    </row>
    <row r="974" spans="1:12">
      <c r="A974" s="32"/>
      <c r="B974" s="177"/>
      <c r="C974" s="13"/>
      <c r="D974" s="78"/>
      <c r="E974" s="10"/>
      <c r="F974" s="30"/>
      <c r="G974" s="186"/>
      <c r="I974" s="103"/>
      <c r="J974" s="103"/>
      <c r="K974" s="103"/>
    </row>
    <row r="975" spans="1:12" ht="38.25">
      <c r="A975" s="76" t="s">
        <v>240</v>
      </c>
      <c r="B975" s="16" t="s">
        <v>501</v>
      </c>
      <c r="C975" s="13"/>
      <c r="D975" s="23"/>
      <c r="E975" s="19"/>
      <c r="F975" s="30"/>
      <c r="G975" s="186"/>
      <c r="I975" s="103"/>
      <c r="J975" s="103"/>
      <c r="K975" s="103"/>
    </row>
    <row r="976" spans="1:12" ht="38.25">
      <c r="A976" s="32"/>
      <c r="B976" s="16" t="s">
        <v>724</v>
      </c>
      <c r="C976" s="13"/>
      <c r="D976" s="23"/>
      <c r="E976" s="19"/>
      <c r="F976" s="30"/>
      <c r="G976" s="186"/>
      <c r="I976" s="103"/>
      <c r="J976" s="103"/>
      <c r="K976" s="103"/>
    </row>
    <row r="977" spans="1:11" ht="38.25">
      <c r="A977" s="32"/>
      <c r="B977" s="140" t="s">
        <v>500</v>
      </c>
      <c r="C977" s="13"/>
      <c r="D977" s="23"/>
      <c r="E977" s="19"/>
      <c r="F977" s="30"/>
      <c r="G977" s="186"/>
      <c r="I977" s="103"/>
      <c r="J977" s="103"/>
      <c r="K977" s="103"/>
    </row>
    <row r="978" spans="1:11" ht="51">
      <c r="A978" s="32"/>
      <c r="B978" s="33" t="s">
        <v>482</v>
      </c>
      <c r="C978" s="13"/>
      <c r="D978" s="23"/>
      <c r="E978" s="19"/>
      <c r="F978" s="30"/>
      <c r="G978" s="186"/>
      <c r="I978" s="103"/>
      <c r="J978" s="103"/>
      <c r="K978" s="103"/>
    </row>
    <row r="979" spans="1:11">
      <c r="A979" s="32"/>
      <c r="B979" s="33" t="s">
        <v>483</v>
      </c>
      <c r="C979" s="13"/>
      <c r="D979" s="23"/>
      <c r="E979" s="19"/>
      <c r="F979" s="30"/>
      <c r="G979" s="186"/>
      <c r="I979" s="103"/>
      <c r="J979" s="103"/>
      <c r="K979" s="103"/>
    </row>
    <row r="980" spans="1:11">
      <c r="A980" s="32"/>
      <c r="B980" s="33"/>
      <c r="C980" s="13"/>
      <c r="D980" s="23"/>
      <c r="E980" s="19"/>
      <c r="F980" s="30"/>
      <c r="G980" s="186"/>
      <c r="I980" s="103"/>
      <c r="J980" s="103"/>
      <c r="K980" s="103"/>
    </row>
    <row r="981" spans="1:11" ht="38.25">
      <c r="A981" s="32"/>
      <c r="B981" s="16" t="s">
        <v>1082</v>
      </c>
      <c r="C981" s="13"/>
      <c r="D981" s="23"/>
      <c r="E981" s="19"/>
      <c r="F981" s="30"/>
      <c r="G981" s="186"/>
      <c r="I981" s="103"/>
      <c r="J981" s="103"/>
      <c r="K981" s="103"/>
    </row>
    <row r="982" spans="1:11" ht="38.25">
      <c r="A982" s="198"/>
      <c r="B982" s="220" t="s">
        <v>1059</v>
      </c>
      <c r="C982" s="221" t="s">
        <v>38</v>
      </c>
      <c r="D982" s="203">
        <f>26.41+17.05+28.73+25.61+23.66+5.58+7.49+31.59+47.53+39.85+36.24+22.21+16.6+13.67</f>
        <v>342.22</v>
      </c>
      <c r="E982" s="215"/>
      <c r="F982" s="212">
        <f>D982*E982</f>
        <v>0</v>
      </c>
      <c r="G982" s="193"/>
      <c r="I982" s="103"/>
      <c r="J982" s="103"/>
      <c r="K982" s="103"/>
    </row>
    <row r="983" spans="1:11">
      <c r="A983" s="32"/>
      <c r="B983" s="16"/>
      <c r="C983" s="13"/>
      <c r="D983" s="23"/>
      <c r="E983" s="19"/>
      <c r="F983" s="30"/>
      <c r="G983" s="186"/>
      <c r="I983" s="103"/>
      <c r="J983" s="103"/>
      <c r="K983" s="103"/>
    </row>
    <row r="984" spans="1:11" ht="38.25">
      <c r="A984" s="76" t="s">
        <v>241</v>
      </c>
      <c r="B984" s="16" t="s">
        <v>501</v>
      </c>
      <c r="C984" s="13"/>
      <c r="D984" s="23"/>
      <c r="E984" s="19"/>
      <c r="F984" s="30"/>
      <c r="G984" s="186"/>
      <c r="I984" s="103"/>
      <c r="J984" s="103"/>
      <c r="K984" s="103"/>
    </row>
    <row r="985" spans="1:11" ht="102">
      <c r="A985" s="32"/>
      <c r="B985" s="16" t="s">
        <v>1085</v>
      </c>
      <c r="C985" s="13"/>
      <c r="D985" s="23"/>
      <c r="E985" s="19"/>
      <c r="F985" s="30"/>
      <c r="G985" s="186"/>
      <c r="I985" s="103"/>
      <c r="J985" s="103"/>
      <c r="K985" s="103"/>
    </row>
    <row r="986" spans="1:11" ht="25.5">
      <c r="A986" s="32"/>
      <c r="B986" s="21" t="s">
        <v>1086</v>
      </c>
      <c r="C986" s="13"/>
      <c r="D986" s="23"/>
      <c r="E986" s="19"/>
      <c r="F986" s="30"/>
      <c r="G986" s="186"/>
      <c r="I986" s="103"/>
      <c r="J986" s="103"/>
      <c r="K986" s="103"/>
    </row>
    <row r="987" spans="1:11" ht="76.5">
      <c r="A987" s="32"/>
      <c r="B987" s="33" t="s">
        <v>481</v>
      </c>
      <c r="C987" s="13"/>
      <c r="D987" s="23"/>
      <c r="E987" s="19"/>
      <c r="F987" s="30"/>
      <c r="G987" s="186"/>
      <c r="I987" s="103"/>
      <c r="J987" s="103"/>
      <c r="K987" s="103"/>
    </row>
    <row r="988" spans="1:11" ht="51">
      <c r="A988" s="32"/>
      <c r="B988" s="33" t="s">
        <v>482</v>
      </c>
      <c r="C988" s="13"/>
      <c r="D988" s="23"/>
      <c r="E988" s="19"/>
      <c r="F988" s="30"/>
      <c r="G988" s="186"/>
      <c r="I988" s="103"/>
      <c r="J988" s="103"/>
      <c r="K988" s="103"/>
    </row>
    <row r="989" spans="1:11">
      <c r="A989" s="32"/>
      <c r="B989" s="33" t="s">
        <v>483</v>
      </c>
      <c r="C989" s="13"/>
      <c r="D989" s="23"/>
      <c r="E989" s="19"/>
      <c r="F989" s="30"/>
      <c r="G989" s="186"/>
      <c r="I989" s="103"/>
      <c r="J989" s="103"/>
      <c r="K989" s="103"/>
    </row>
    <row r="990" spans="1:11">
      <c r="A990" s="32"/>
      <c r="B990" s="16"/>
      <c r="C990" s="13"/>
      <c r="D990" s="23"/>
      <c r="E990" s="19"/>
      <c r="F990" s="30"/>
      <c r="G990" s="186"/>
      <c r="I990" s="103"/>
      <c r="J990" s="103"/>
      <c r="K990" s="103"/>
    </row>
    <row r="991" spans="1:11" ht="25.5">
      <c r="A991" s="32"/>
      <c r="B991" s="16" t="s">
        <v>1087</v>
      </c>
      <c r="C991" s="13" t="s">
        <v>38</v>
      </c>
      <c r="D991" s="78">
        <v>10.39</v>
      </c>
      <c r="E991" s="10"/>
      <c r="F991" s="30">
        <f>D991*E991</f>
        <v>0</v>
      </c>
      <c r="G991" s="193"/>
      <c r="I991" s="103"/>
      <c r="J991" s="103"/>
      <c r="K991" s="103"/>
    </row>
    <row r="992" spans="1:11">
      <c r="A992" s="32"/>
      <c r="B992" s="16"/>
      <c r="C992" s="13"/>
      <c r="D992" s="23"/>
      <c r="E992" s="19"/>
      <c r="F992" s="30"/>
      <c r="G992" s="186"/>
      <c r="I992" s="103"/>
      <c r="J992" s="103"/>
      <c r="K992" s="103"/>
    </row>
    <row r="993" spans="1:11" ht="51">
      <c r="A993" s="76" t="s">
        <v>754</v>
      </c>
      <c r="B993" s="16" t="s">
        <v>1230</v>
      </c>
      <c r="C993" s="13"/>
      <c r="D993" s="23"/>
      <c r="E993" s="19"/>
      <c r="F993" s="30"/>
      <c r="G993" s="186"/>
      <c r="I993" s="103"/>
      <c r="J993" s="103"/>
      <c r="K993" s="103"/>
    </row>
    <row r="994" spans="1:11" ht="63.75">
      <c r="A994" s="32"/>
      <c r="B994" s="22" t="s">
        <v>476</v>
      </c>
      <c r="C994" s="13"/>
      <c r="D994" s="23"/>
      <c r="E994" s="19"/>
      <c r="F994" s="30"/>
      <c r="G994" s="186"/>
      <c r="I994" s="103"/>
      <c r="J994" s="103"/>
      <c r="K994" s="103"/>
    </row>
    <row r="995" spans="1:11" ht="25.5">
      <c r="A995" s="32"/>
      <c r="B995" s="22" t="s">
        <v>477</v>
      </c>
      <c r="C995" s="13"/>
      <c r="D995" s="23"/>
      <c r="E995" s="19"/>
      <c r="F995" s="30"/>
      <c r="G995" s="186"/>
      <c r="I995" s="103"/>
      <c r="J995" s="103"/>
      <c r="K995" s="103"/>
    </row>
    <row r="996" spans="1:11">
      <c r="A996" s="32"/>
      <c r="B996" s="33" t="s">
        <v>483</v>
      </c>
      <c r="C996" s="13"/>
      <c r="D996" s="23"/>
      <c r="E996" s="19"/>
      <c r="F996" s="30"/>
      <c r="G996" s="186"/>
      <c r="I996" s="103"/>
      <c r="J996" s="103"/>
      <c r="K996" s="103"/>
    </row>
    <row r="997" spans="1:11" s="103" customFormat="1">
      <c r="A997" s="32"/>
      <c r="B997" s="16"/>
      <c r="C997" s="13"/>
      <c r="D997" s="23"/>
      <c r="E997" s="19"/>
      <c r="F997" s="30"/>
      <c r="G997" s="193"/>
    </row>
    <row r="998" spans="1:11" s="103" customFormat="1">
      <c r="A998" s="198"/>
      <c r="B998" s="337" t="s">
        <v>1234</v>
      </c>
      <c r="C998" s="221" t="s">
        <v>38</v>
      </c>
      <c r="D998" s="222">
        <f>1*90.1+0.85*10.89</f>
        <v>99.356499999999997</v>
      </c>
      <c r="E998" s="334"/>
      <c r="F998" s="212">
        <f>D998*E998</f>
        <v>0</v>
      </c>
      <c r="G998" s="193"/>
    </row>
    <row r="999" spans="1:11" s="103" customFormat="1">
      <c r="A999" s="32"/>
      <c r="B999" s="16"/>
      <c r="C999" s="13"/>
      <c r="D999" s="23"/>
      <c r="E999" s="19"/>
      <c r="F999" s="30"/>
      <c r="G999" s="186"/>
    </row>
    <row r="1000" spans="1:11" s="103" customFormat="1" ht="38.25">
      <c r="A1000" s="76" t="s">
        <v>1271</v>
      </c>
      <c r="B1000" s="80" t="s">
        <v>504</v>
      </c>
      <c r="C1000" s="22"/>
      <c r="D1000" s="22"/>
      <c r="E1000" s="19"/>
      <c r="F1000" s="30"/>
      <c r="G1000" s="186"/>
    </row>
    <row r="1001" spans="1:11" s="103" customFormat="1" ht="51">
      <c r="A1001" s="76"/>
      <c r="B1001" s="80" t="s">
        <v>725</v>
      </c>
      <c r="C1001" s="22"/>
      <c r="D1001" s="22"/>
      <c r="E1001" s="19"/>
      <c r="F1001" s="30"/>
      <c r="G1001" s="186"/>
    </row>
    <row r="1002" spans="1:11">
      <c r="A1002" s="32"/>
      <c r="B1002" s="34" t="s">
        <v>41</v>
      </c>
      <c r="C1002" s="22"/>
      <c r="D1002" s="22"/>
      <c r="E1002" s="19"/>
      <c r="F1002" s="30"/>
      <c r="G1002" s="186"/>
      <c r="I1002" s="103"/>
      <c r="J1002" s="103"/>
      <c r="K1002" s="103"/>
    </row>
    <row r="1003" spans="1:11">
      <c r="A1003" s="32"/>
      <c r="B1003" s="34"/>
      <c r="C1003" s="22"/>
      <c r="D1003" s="22"/>
      <c r="E1003" s="19"/>
      <c r="F1003" s="30"/>
      <c r="G1003" s="186"/>
      <c r="I1003" s="103"/>
      <c r="J1003" s="103"/>
      <c r="K1003" s="103"/>
    </row>
    <row r="1004" spans="1:11">
      <c r="A1004" s="32"/>
      <c r="B1004" s="22" t="s">
        <v>27</v>
      </c>
      <c r="C1004" s="22"/>
      <c r="D1004" s="22"/>
      <c r="E1004" s="19"/>
      <c r="F1004" s="30"/>
      <c r="G1004" s="186"/>
      <c r="I1004" s="103"/>
      <c r="J1004" s="103"/>
      <c r="K1004" s="103"/>
    </row>
    <row r="1005" spans="1:11">
      <c r="A1005" s="32"/>
      <c r="B1005" s="23" t="s">
        <v>972</v>
      </c>
      <c r="C1005" s="22"/>
      <c r="D1005" s="22">
        <f>4.68+3.78*3+4.45+3.37</f>
        <v>23.84</v>
      </c>
      <c r="E1005" s="19"/>
      <c r="F1005" s="30"/>
      <c r="G1005" s="186"/>
      <c r="I1005" s="103"/>
      <c r="J1005" s="103"/>
      <c r="K1005" s="103"/>
    </row>
    <row r="1006" spans="1:11">
      <c r="A1006" s="32"/>
      <c r="B1006" s="22"/>
      <c r="C1006" s="22"/>
      <c r="D1006" s="22"/>
      <c r="E1006" s="19"/>
      <c r="F1006" s="30"/>
      <c r="G1006" s="186"/>
      <c r="I1006" s="103"/>
      <c r="J1006" s="103"/>
      <c r="K1006" s="103"/>
    </row>
    <row r="1007" spans="1:11">
      <c r="A1007" s="32"/>
      <c r="B1007" s="22" t="s">
        <v>360</v>
      </c>
      <c r="C1007" s="22"/>
      <c r="D1007" s="22"/>
      <c r="E1007" s="19"/>
      <c r="F1007" s="30"/>
      <c r="G1007" s="186"/>
      <c r="I1007" s="103"/>
      <c r="J1007" s="103"/>
      <c r="K1007" s="103"/>
    </row>
    <row r="1008" spans="1:11">
      <c r="A1008" s="32"/>
      <c r="B1008" s="23" t="s">
        <v>848</v>
      </c>
      <c r="C1008" s="22"/>
      <c r="D1008" s="22">
        <f>4.68+3.78*4+4.45+3.37</f>
        <v>27.619999999999997</v>
      </c>
      <c r="E1008" s="19"/>
      <c r="F1008" s="30"/>
      <c r="G1008" s="186"/>
      <c r="I1008" s="103"/>
      <c r="J1008" s="103"/>
      <c r="K1008" s="103"/>
    </row>
    <row r="1009" spans="1:13">
      <c r="A1009" s="32"/>
      <c r="B1009" s="22"/>
      <c r="C1009" s="22"/>
      <c r="D1009" s="22"/>
      <c r="E1009" s="19"/>
      <c r="F1009" s="30"/>
      <c r="G1009" s="186"/>
      <c r="I1009" s="103"/>
      <c r="J1009" s="103"/>
      <c r="K1009" s="103"/>
    </row>
    <row r="1010" spans="1:13">
      <c r="A1010" s="32"/>
      <c r="B1010" s="22" t="s">
        <v>361</v>
      </c>
      <c r="C1010" s="22"/>
      <c r="D1010" s="22"/>
      <c r="E1010" s="19"/>
      <c r="F1010" s="30"/>
      <c r="G1010" s="186"/>
      <c r="I1010" s="103"/>
      <c r="J1010" s="103"/>
      <c r="K1010" s="103"/>
    </row>
    <row r="1011" spans="1:13">
      <c r="A1011" s="32"/>
      <c r="B1011" s="23" t="s">
        <v>973</v>
      </c>
      <c r="C1011" s="22"/>
      <c r="D1011" s="22">
        <f>(4.68+3.78*4+4.45+3.37)*3</f>
        <v>82.859999999999985</v>
      </c>
      <c r="E1011" s="19"/>
      <c r="F1011" s="30"/>
      <c r="G1011" s="186"/>
      <c r="I1011" s="103"/>
      <c r="J1011" s="103"/>
      <c r="K1011" s="103"/>
    </row>
    <row r="1012" spans="1:13">
      <c r="A1012" s="32"/>
      <c r="B1012" s="21"/>
      <c r="C1012" s="22"/>
      <c r="D1012" s="22"/>
      <c r="E1012" s="19"/>
      <c r="F1012" s="30"/>
      <c r="G1012" s="186"/>
      <c r="I1012" s="103"/>
      <c r="J1012" s="103"/>
      <c r="K1012" s="103"/>
    </row>
    <row r="1013" spans="1:13">
      <c r="A1013" s="32"/>
      <c r="B1013" s="22" t="s">
        <v>505</v>
      </c>
      <c r="C1013" s="13" t="s">
        <v>38</v>
      </c>
      <c r="D1013" s="23">
        <f>SUM(D1005:D1011)</f>
        <v>134.32</v>
      </c>
      <c r="E1013" s="10"/>
      <c r="F1013" s="30">
        <f>D1013*E1013</f>
        <v>0</v>
      </c>
      <c r="G1013" s="193"/>
      <c r="I1013" s="103"/>
      <c r="J1013" s="103"/>
      <c r="K1013" s="103"/>
    </row>
    <row r="1014" spans="1:13" ht="13.5" thickBot="1">
      <c r="A1014" s="32"/>
      <c r="B1014" s="129"/>
      <c r="C1014" s="41"/>
      <c r="D1014" s="134"/>
      <c r="E1014" s="22"/>
      <c r="F1014" s="30"/>
      <c r="G1014" s="186"/>
      <c r="I1014" s="103"/>
      <c r="J1014" s="103"/>
      <c r="K1014" s="103"/>
    </row>
    <row r="1015" spans="1:13" s="1" customFormat="1" ht="15.95" customHeight="1" thickBot="1">
      <c r="A1015" s="153" t="str">
        <f>A677</f>
        <v>6.</v>
      </c>
      <c r="B1015" s="223" t="s">
        <v>58</v>
      </c>
      <c r="C1015" s="59"/>
      <c r="D1015" s="60"/>
      <c r="E1015" s="61"/>
      <c r="F1015" s="154">
        <f>SUM(F679:F1014)</f>
        <v>0</v>
      </c>
      <c r="G1015" s="396"/>
      <c r="H1015" s="313"/>
      <c r="I1015" s="397"/>
      <c r="J1015" s="398"/>
      <c r="K1015" s="398"/>
      <c r="L1015" s="2"/>
      <c r="M1015" s="2"/>
    </row>
    <row r="1016" spans="1:13" s="1" customFormat="1" ht="15.95" customHeight="1" thickBot="1">
      <c r="A1016" s="62" t="s">
        <v>8</v>
      </c>
      <c r="B1016" s="72" t="s">
        <v>105</v>
      </c>
      <c r="C1016" s="73"/>
      <c r="D1016" s="74"/>
      <c r="E1016" s="169"/>
      <c r="F1016" s="75"/>
      <c r="G1016" s="426"/>
      <c r="H1016" s="427"/>
      <c r="I1016" s="427"/>
      <c r="J1016" s="427"/>
      <c r="K1016" s="427"/>
      <c r="L1016" s="2"/>
      <c r="M1016" s="2"/>
    </row>
    <row r="1017" spans="1:13">
      <c r="A1017" s="32"/>
      <c r="B1017" s="22"/>
      <c r="C1017" s="22"/>
      <c r="D1017" s="22"/>
      <c r="E1017" s="19"/>
      <c r="F1017" s="63"/>
      <c r="G1017" s="186"/>
      <c r="I1017" s="103"/>
      <c r="J1017" s="103"/>
      <c r="K1017" s="103"/>
    </row>
    <row r="1018" spans="1:13" ht="51">
      <c r="A1018" s="76" t="s">
        <v>11</v>
      </c>
      <c r="B1018" s="22" t="s">
        <v>1147</v>
      </c>
      <c r="C1018" s="22"/>
      <c r="D1018" s="22"/>
      <c r="E1018" s="19"/>
      <c r="F1018" s="63"/>
      <c r="G1018" s="186"/>
      <c r="I1018" s="103"/>
      <c r="J1018" s="103"/>
      <c r="K1018" s="103"/>
    </row>
    <row r="1019" spans="1:13" ht="38.25">
      <c r="A1019" s="32"/>
      <c r="B1019" s="22" t="s">
        <v>506</v>
      </c>
      <c r="C1019" s="22"/>
      <c r="D1019" s="22"/>
      <c r="E1019" s="19"/>
      <c r="F1019" s="63"/>
      <c r="G1019" s="186"/>
      <c r="I1019" s="103"/>
      <c r="J1019" s="103"/>
      <c r="K1019" s="103"/>
    </row>
    <row r="1020" spans="1:13" ht="25.5">
      <c r="A1020" s="32"/>
      <c r="B1020" s="22" t="s">
        <v>507</v>
      </c>
      <c r="C1020" s="22"/>
      <c r="D1020" s="22"/>
      <c r="E1020" s="19"/>
      <c r="F1020" s="63"/>
      <c r="G1020" s="186"/>
      <c r="I1020" s="103"/>
      <c r="J1020" s="103"/>
      <c r="K1020" s="103"/>
    </row>
    <row r="1021" spans="1:13" ht="25.5">
      <c r="A1021" s="32"/>
      <c r="B1021" s="22" t="s">
        <v>508</v>
      </c>
      <c r="C1021" s="22"/>
      <c r="D1021" s="22"/>
      <c r="E1021" s="19"/>
      <c r="F1021" s="63"/>
      <c r="G1021" s="186"/>
      <c r="I1021" s="103"/>
      <c r="J1021" s="103"/>
      <c r="K1021" s="103"/>
    </row>
    <row r="1022" spans="1:13" ht="38.25">
      <c r="A1022" s="32"/>
      <c r="B1022" s="22" t="s">
        <v>509</v>
      </c>
      <c r="C1022" s="22"/>
      <c r="D1022" s="22"/>
      <c r="E1022" s="19"/>
      <c r="F1022" s="63"/>
      <c r="G1022" s="186"/>
      <c r="I1022" s="103"/>
      <c r="J1022" s="103"/>
      <c r="K1022" s="103"/>
    </row>
    <row r="1023" spans="1:13" ht="25.5">
      <c r="A1023" s="32"/>
      <c r="B1023" s="22" t="s">
        <v>510</v>
      </c>
      <c r="C1023" s="22"/>
      <c r="D1023" s="22"/>
      <c r="E1023" s="19"/>
      <c r="F1023" s="63"/>
      <c r="G1023" s="186"/>
      <c r="I1023" s="103"/>
      <c r="J1023" s="103"/>
      <c r="K1023" s="103"/>
    </row>
    <row r="1024" spans="1:13" ht="63.75">
      <c r="A1024" s="32"/>
      <c r="B1024" s="33" t="s">
        <v>511</v>
      </c>
      <c r="C1024" s="22"/>
      <c r="D1024" s="22"/>
      <c r="E1024" s="19"/>
      <c r="F1024" s="63"/>
      <c r="G1024" s="186"/>
      <c r="I1024" s="103"/>
      <c r="J1024" s="103"/>
      <c r="K1024" s="103"/>
    </row>
    <row r="1025" spans="1:11">
      <c r="A1025" s="32"/>
      <c r="B1025" s="111"/>
      <c r="C1025" s="22"/>
      <c r="D1025" s="22"/>
      <c r="E1025" s="19"/>
      <c r="F1025" s="63"/>
      <c r="G1025" s="186"/>
      <c r="I1025" s="103"/>
      <c r="J1025" s="103"/>
      <c r="K1025" s="103"/>
    </row>
    <row r="1026" spans="1:11" ht="25.5">
      <c r="A1026" s="79" t="s">
        <v>512</v>
      </c>
      <c r="B1026" s="22" t="s">
        <v>1148</v>
      </c>
      <c r="C1026" s="22"/>
      <c r="D1026" s="22"/>
      <c r="E1026" s="19"/>
      <c r="F1026" s="63"/>
      <c r="G1026" s="186"/>
      <c r="I1026" s="103"/>
      <c r="J1026" s="103"/>
      <c r="K1026" s="103"/>
    </row>
    <row r="1027" spans="1:11">
      <c r="A1027" s="79"/>
      <c r="B1027" s="22"/>
      <c r="C1027" s="22"/>
      <c r="D1027" s="22"/>
      <c r="E1027" s="19"/>
      <c r="F1027" s="63"/>
      <c r="G1027" s="186"/>
      <c r="I1027" s="103"/>
      <c r="J1027" s="103"/>
      <c r="K1027" s="103"/>
    </row>
    <row r="1028" spans="1:11">
      <c r="A1028" s="79"/>
      <c r="B1028" s="22" t="s">
        <v>27</v>
      </c>
      <c r="C1028" s="22"/>
      <c r="D1028" s="22"/>
      <c r="E1028" s="19"/>
      <c r="F1028" s="63"/>
      <c r="G1028" s="186"/>
      <c r="I1028" s="103"/>
      <c r="J1028" s="103"/>
      <c r="K1028" s="103"/>
    </row>
    <row r="1029" spans="1:11">
      <c r="A1029" s="79"/>
      <c r="B1029" s="23" t="s">
        <v>875</v>
      </c>
      <c r="C1029" s="22"/>
      <c r="D1029" s="23">
        <f>2.67*2.33</f>
        <v>6.2210999999999999</v>
      </c>
      <c r="E1029" s="19"/>
      <c r="F1029" s="63"/>
      <c r="G1029" s="186"/>
      <c r="I1029" s="103"/>
      <c r="J1029" s="103"/>
      <c r="K1029" s="103"/>
    </row>
    <row r="1030" spans="1:11">
      <c r="A1030" s="79"/>
      <c r="B1030" s="22"/>
      <c r="C1030" s="22"/>
      <c r="D1030" s="22"/>
      <c r="E1030" s="19"/>
      <c r="F1030" s="63"/>
      <c r="G1030" s="186"/>
      <c r="I1030" s="103"/>
      <c r="J1030" s="103"/>
      <c r="K1030" s="103"/>
    </row>
    <row r="1031" spans="1:11">
      <c r="A1031" s="79"/>
      <c r="B1031" s="22" t="s">
        <v>360</v>
      </c>
      <c r="C1031" s="22"/>
      <c r="D1031" s="22"/>
      <c r="E1031" s="19"/>
      <c r="F1031" s="63"/>
      <c r="G1031" s="186"/>
      <c r="I1031" s="103"/>
      <c r="J1031" s="103"/>
      <c r="K1031" s="103"/>
    </row>
    <row r="1032" spans="1:11">
      <c r="A1032" s="79"/>
      <c r="B1032" s="23" t="s">
        <v>875</v>
      </c>
      <c r="C1032" s="22"/>
      <c r="D1032" s="23">
        <f>2.67*2.33</f>
        <v>6.2210999999999999</v>
      </c>
      <c r="E1032" s="19"/>
      <c r="F1032" s="63"/>
      <c r="G1032" s="186"/>
      <c r="I1032" s="103"/>
      <c r="J1032" s="103"/>
      <c r="K1032" s="103"/>
    </row>
    <row r="1033" spans="1:11">
      <c r="A1033" s="79"/>
      <c r="B1033" s="22"/>
      <c r="C1033" s="22"/>
      <c r="D1033" s="22"/>
      <c r="E1033" s="19"/>
      <c r="F1033" s="63"/>
      <c r="G1033" s="186"/>
      <c r="I1033" s="103"/>
      <c r="J1033" s="103"/>
      <c r="K1033" s="103"/>
    </row>
    <row r="1034" spans="1:11">
      <c r="A1034" s="32"/>
      <c r="B1034" s="22" t="s">
        <v>361</v>
      </c>
      <c r="C1034" s="22"/>
      <c r="D1034" s="22"/>
      <c r="E1034" s="19"/>
      <c r="F1034" s="63"/>
      <c r="G1034" s="186"/>
      <c r="I1034" s="103"/>
      <c r="J1034" s="103"/>
      <c r="K1034" s="103"/>
    </row>
    <row r="1035" spans="1:11">
      <c r="A1035" s="32"/>
      <c r="B1035" s="23" t="s">
        <v>876</v>
      </c>
      <c r="C1035" s="22"/>
      <c r="D1035" s="23">
        <f>2.67*2.33*3</f>
        <v>18.6633</v>
      </c>
      <c r="E1035" s="19"/>
      <c r="F1035" s="63"/>
      <c r="G1035" s="186"/>
      <c r="I1035" s="103"/>
      <c r="J1035" s="103"/>
      <c r="K1035" s="103"/>
    </row>
    <row r="1036" spans="1:11">
      <c r="A1036" s="32"/>
      <c r="B1036" s="23"/>
      <c r="C1036" s="22"/>
      <c r="D1036" s="22"/>
      <c r="E1036" s="19"/>
      <c r="F1036" s="63"/>
      <c r="G1036" s="186"/>
      <c r="I1036" s="103"/>
      <c r="J1036" s="103"/>
      <c r="K1036" s="103"/>
    </row>
    <row r="1037" spans="1:11">
      <c r="A1037" s="32"/>
      <c r="B1037" s="22" t="s">
        <v>536</v>
      </c>
      <c r="C1037" s="13" t="s">
        <v>38</v>
      </c>
      <c r="D1037" s="23">
        <f>SUM(D1026:D1035)</f>
        <v>31.105499999999999</v>
      </c>
      <c r="E1037" s="10"/>
      <c r="F1037" s="30">
        <f>E1037*D1037</f>
        <v>0</v>
      </c>
      <c r="G1037" s="193"/>
      <c r="H1037" s="9"/>
      <c r="I1037" s="103"/>
      <c r="J1037" s="103"/>
      <c r="K1037" s="103"/>
    </row>
    <row r="1038" spans="1:11">
      <c r="A1038" s="32"/>
      <c r="B1038" s="111"/>
      <c r="C1038" s="22"/>
      <c r="D1038" s="22"/>
      <c r="E1038" s="19"/>
      <c r="F1038" s="63"/>
      <c r="G1038" s="186"/>
      <c r="I1038" s="103"/>
      <c r="J1038" s="103"/>
      <c r="K1038" s="103"/>
    </row>
    <row r="1039" spans="1:11" ht="25.5">
      <c r="A1039" s="79" t="s">
        <v>513</v>
      </c>
      <c r="B1039" s="22" t="s">
        <v>1149</v>
      </c>
      <c r="C1039" s="22"/>
      <c r="D1039" s="22"/>
      <c r="E1039" s="19"/>
      <c r="F1039" s="63"/>
      <c r="G1039" s="186"/>
      <c r="I1039" s="103"/>
      <c r="J1039" s="103"/>
      <c r="K1039" s="103"/>
    </row>
    <row r="1040" spans="1:11">
      <c r="A1040" s="32"/>
      <c r="B1040" s="111"/>
      <c r="C1040" s="22"/>
      <c r="D1040" s="22"/>
      <c r="E1040" s="19"/>
      <c r="F1040" s="63"/>
      <c r="G1040" s="186"/>
      <c r="I1040" s="103"/>
      <c r="J1040" s="103"/>
      <c r="K1040" s="103"/>
    </row>
    <row r="1041" spans="1:14">
      <c r="A1041" s="32"/>
      <c r="B1041" s="23" t="s">
        <v>873</v>
      </c>
      <c r="C1041" s="22"/>
      <c r="D1041" s="23">
        <f>2.67*(2.51+1.89)</f>
        <v>11.747999999999998</v>
      </c>
      <c r="E1041" s="19"/>
      <c r="F1041" s="63"/>
      <c r="G1041" s="186"/>
      <c r="I1041" s="103"/>
      <c r="J1041" s="103"/>
      <c r="K1041" s="103"/>
    </row>
    <row r="1042" spans="1:14">
      <c r="A1042" s="32"/>
      <c r="B1042" s="22"/>
      <c r="C1042" s="22"/>
      <c r="D1042" s="22"/>
      <c r="E1042" s="19"/>
      <c r="F1042" s="63"/>
      <c r="G1042" s="186"/>
      <c r="I1042" s="103"/>
      <c r="J1042" s="103"/>
      <c r="K1042" s="103"/>
    </row>
    <row r="1043" spans="1:14">
      <c r="A1043" s="32"/>
      <c r="B1043" s="22" t="s">
        <v>360</v>
      </c>
      <c r="C1043" s="22"/>
      <c r="D1043" s="22"/>
      <c r="E1043" s="19"/>
      <c r="F1043" s="63"/>
      <c r="G1043" s="186"/>
      <c r="I1043" s="103"/>
      <c r="J1043" s="103"/>
      <c r="K1043" s="103"/>
    </row>
    <row r="1044" spans="1:14" s="103" customFormat="1">
      <c r="A1044" s="32"/>
      <c r="B1044" s="23" t="s">
        <v>873</v>
      </c>
      <c r="C1044" s="22"/>
      <c r="D1044" s="23">
        <f>2.67*(2.51+1.89)</f>
        <v>11.747999999999998</v>
      </c>
      <c r="E1044" s="19"/>
      <c r="F1044" s="63"/>
      <c r="G1044" s="186"/>
      <c r="L1044" s="6"/>
      <c r="M1044" s="6"/>
      <c r="N1044" s="6"/>
    </row>
    <row r="1045" spans="1:14" s="103" customFormat="1">
      <c r="A1045" s="32"/>
      <c r="B1045" s="22"/>
      <c r="C1045" s="22"/>
      <c r="D1045" s="22"/>
      <c r="E1045" s="19"/>
      <c r="F1045" s="63"/>
      <c r="G1045" s="186"/>
      <c r="L1045" s="6"/>
      <c r="M1045" s="6"/>
      <c r="N1045" s="6"/>
    </row>
    <row r="1046" spans="1:14">
      <c r="A1046" s="32"/>
      <c r="B1046" s="22" t="s">
        <v>361</v>
      </c>
      <c r="C1046" s="22"/>
      <c r="D1046" s="22"/>
      <c r="E1046" s="19"/>
      <c r="F1046" s="63"/>
      <c r="G1046" s="186"/>
      <c r="H1046" s="9"/>
      <c r="I1046" s="103"/>
      <c r="J1046" s="103"/>
      <c r="K1046" s="103"/>
    </row>
    <row r="1047" spans="1:14">
      <c r="A1047" s="32"/>
      <c r="B1047" s="23" t="s">
        <v>874</v>
      </c>
      <c r="C1047" s="22"/>
      <c r="D1047" s="23">
        <f>2.67*(2.51+1.89)*3</f>
        <v>35.243999999999993</v>
      </c>
      <c r="E1047" s="19"/>
      <c r="F1047" s="63"/>
      <c r="G1047" s="186"/>
      <c r="I1047" s="103"/>
      <c r="J1047" s="103"/>
      <c r="K1047" s="103"/>
    </row>
    <row r="1048" spans="1:14">
      <c r="A1048" s="32"/>
      <c r="B1048" s="23"/>
      <c r="C1048" s="22"/>
      <c r="D1048" s="22"/>
      <c r="E1048" s="19"/>
      <c r="F1048" s="63"/>
      <c r="G1048" s="186"/>
      <c r="I1048" s="103"/>
      <c r="J1048" s="103"/>
      <c r="K1048" s="103"/>
    </row>
    <row r="1049" spans="1:14">
      <c r="A1049" s="198"/>
      <c r="B1049" s="196" t="s">
        <v>1272</v>
      </c>
      <c r="C1049" s="221" t="s">
        <v>38</v>
      </c>
      <c r="D1049" s="222">
        <f>SUM(D1039:D1047)</f>
        <v>58.739999999999988</v>
      </c>
      <c r="E1049" s="215"/>
      <c r="F1049" s="212">
        <f>E1049*D1049</f>
        <v>0</v>
      </c>
      <c r="G1049" s="193"/>
      <c r="I1049" s="103"/>
      <c r="J1049" s="103"/>
      <c r="K1049" s="103"/>
    </row>
    <row r="1050" spans="1:14">
      <c r="A1050" s="32"/>
      <c r="B1050" s="22"/>
      <c r="C1050" s="13"/>
      <c r="D1050" s="23"/>
      <c r="E1050" s="10"/>
      <c r="F1050" s="30"/>
      <c r="G1050" s="186"/>
      <c r="I1050" s="103"/>
      <c r="J1050" s="103"/>
      <c r="K1050" s="103"/>
    </row>
    <row r="1051" spans="1:14" ht="89.25">
      <c r="A1051" s="76" t="s">
        <v>12</v>
      </c>
      <c r="B1051" s="33" t="s">
        <v>1150</v>
      </c>
      <c r="C1051" s="22"/>
      <c r="D1051" s="22"/>
      <c r="E1051" s="19"/>
      <c r="F1051" s="63"/>
      <c r="G1051" s="404"/>
      <c r="I1051" s="103"/>
      <c r="J1051" s="128"/>
      <c r="K1051" s="128"/>
    </row>
    <row r="1052" spans="1:14" ht="38.25">
      <c r="A1052" s="76"/>
      <c r="B1052" s="33" t="s">
        <v>514</v>
      </c>
      <c r="C1052" s="22"/>
      <c r="D1052" s="22"/>
      <c r="E1052" s="19"/>
      <c r="F1052" s="63"/>
      <c r="G1052" s="404"/>
      <c r="I1052" s="103"/>
      <c r="J1052" s="128"/>
      <c r="K1052" s="128"/>
    </row>
    <row r="1053" spans="1:14" ht="25.5">
      <c r="A1053" s="76"/>
      <c r="B1053" s="33" t="s">
        <v>515</v>
      </c>
      <c r="C1053" s="22"/>
      <c r="D1053" s="22"/>
      <c r="E1053" s="19"/>
      <c r="F1053" s="63"/>
      <c r="G1053" s="186"/>
      <c r="I1053" s="103"/>
      <c r="J1053" s="103"/>
      <c r="K1053" s="103"/>
    </row>
    <row r="1054" spans="1:14" ht="63.75">
      <c r="A1054" s="76"/>
      <c r="B1054" s="301" t="s">
        <v>145</v>
      </c>
      <c r="C1054" s="22"/>
      <c r="D1054" s="22"/>
      <c r="E1054" s="19"/>
      <c r="F1054" s="63"/>
      <c r="G1054" s="186"/>
      <c r="I1054" s="103"/>
      <c r="J1054" s="103"/>
      <c r="K1054" s="103"/>
    </row>
    <row r="1055" spans="1:14" ht="89.25">
      <c r="A1055" s="76"/>
      <c r="B1055" s="33" t="s">
        <v>516</v>
      </c>
      <c r="C1055" s="22"/>
      <c r="D1055" s="22"/>
      <c r="E1055" s="19"/>
      <c r="F1055" s="63"/>
      <c r="G1055" s="186"/>
      <c r="I1055" s="103"/>
      <c r="J1055" s="103"/>
      <c r="K1055" s="103"/>
    </row>
    <row r="1056" spans="1:14">
      <c r="A1056" s="76"/>
      <c r="B1056" s="33"/>
      <c r="C1056" s="22"/>
      <c r="D1056" s="22"/>
      <c r="E1056" s="19"/>
      <c r="F1056" s="63"/>
      <c r="G1056" s="186"/>
      <c r="I1056" s="103"/>
      <c r="J1056" s="103"/>
      <c r="K1056" s="103"/>
    </row>
    <row r="1057" spans="1:11" ht="25.5">
      <c r="A1057" s="79" t="s">
        <v>517</v>
      </c>
      <c r="B1057" s="225" t="s">
        <v>1151</v>
      </c>
      <c r="C1057" s="22"/>
      <c r="D1057" s="22"/>
      <c r="E1057" s="19"/>
      <c r="F1057" s="63"/>
      <c r="G1057" s="186"/>
      <c r="I1057" s="103"/>
      <c r="J1057" s="103"/>
      <c r="K1057" s="103"/>
    </row>
    <row r="1058" spans="1:11">
      <c r="A1058" s="79"/>
      <c r="B1058" s="112" t="s">
        <v>518</v>
      </c>
      <c r="C1058" s="22"/>
      <c r="D1058" s="22"/>
      <c r="E1058" s="19"/>
      <c r="F1058" s="63"/>
      <c r="G1058" s="186"/>
      <c r="I1058" s="103"/>
      <c r="J1058" s="103"/>
      <c r="K1058" s="103"/>
    </row>
    <row r="1059" spans="1:11">
      <c r="A1059" s="79"/>
      <c r="B1059" s="112"/>
      <c r="C1059" s="22"/>
      <c r="D1059" s="22"/>
      <c r="E1059" s="19"/>
      <c r="F1059" s="63"/>
      <c r="G1059" s="186"/>
      <c r="I1059" s="103"/>
      <c r="J1059" s="103"/>
      <c r="K1059" s="103"/>
    </row>
    <row r="1060" spans="1:11">
      <c r="A1060" s="79"/>
      <c r="B1060" s="22" t="s">
        <v>27</v>
      </c>
      <c r="C1060" s="22"/>
      <c r="D1060" s="22"/>
      <c r="E1060" s="19"/>
      <c r="F1060" s="63"/>
      <c r="G1060" s="186"/>
      <c r="I1060" s="103"/>
      <c r="J1060" s="103"/>
      <c r="K1060" s="103"/>
    </row>
    <row r="1061" spans="1:11">
      <c r="A1061" s="79"/>
      <c r="B1061" s="23" t="s">
        <v>877</v>
      </c>
      <c r="C1061" s="22"/>
      <c r="D1061" s="23">
        <f>30.3+11.97</f>
        <v>42.27</v>
      </c>
      <c r="E1061" s="19"/>
      <c r="F1061" s="63"/>
      <c r="G1061" s="186"/>
      <c r="I1061" s="103"/>
      <c r="J1061" s="103"/>
      <c r="K1061" s="103"/>
    </row>
    <row r="1062" spans="1:11">
      <c r="A1062" s="79"/>
      <c r="B1062" s="22"/>
      <c r="C1062" s="22"/>
      <c r="D1062" s="22"/>
      <c r="E1062" s="19"/>
      <c r="F1062" s="63"/>
      <c r="G1062" s="186"/>
      <c r="I1062" s="103"/>
      <c r="J1062" s="103"/>
      <c r="K1062" s="103"/>
    </row>
    <row r="1063" spans="1:11">
      <c r="A1063" s="79"/>
      <c r="B1063" s="22" t="s">
        <v>360</v>
      </c>
      <c r="C1063" s="22"/>
      <c r="D1063" s="22">
        <v>37.340000000000003</v>
      </c>
      <c r="E1063" s="19"/>
      <c r="F1063" s="63"/>
      <c r="G1063" s="186"/>
      <c r="I1063" s="103"/>
      <c r="J1063" s="103"/>
      <c r="K1063" s="103"/>
    </row>
    <row r="1064" spans="1:11">
      <c r="A1064" s="79"/>
      <c r="B1064" s="22"/>
      <c r="C1064" s="22"/>
      <c r="D1064" s="22"/>
      <c r="E1064" s="19"/>
      <c r="F1064" s="63"/>
      <c r="G1064" s="186"/>
      <c r="I1064" s="103"/>
      <c r="J1064" s="103"/>
      <c r="K1064" s="103"/>
    </row>
    <row r="1065" spans="1:11">
      <c r="A1065" s="79"/>
      <c r="B1065" s="22" t="s">
        <v>361</v>
      </c>
      <c r="C1065" s="22"/>
      <c r="D1065" s="22"/>
      <c r="E1065" s="19"/>
      <c r="F1065" s="63"/>
      <c r="G1065" s="186"/>
      <c r="I1065" s="103"/>
      <c r="J1065" s="103"/>
      <c r="K1065" s="103"/>
    </row>
    <row r="1066" spans="1:11">
      <c r="A1066" s="79"/>
      <c r="B1066" s="23" t="s">
        <v>878</v>
      </c>
      <c r="C1066" s="22"/>
      <c r="D1066" s="23">
        <f>37.34*3+10.57</f>
        <v>122.59</v>
      </c>
      <c r="E1066" s="19"/>
      <c r="F1066" s="63"/>
      <c r="G1066" s="186"/>
      <c r="I1066" s="103"/>
      <c r="J1066" s="103"/>
      <c r="K1066" s="103"/>
    </row>
    <row r="1067" spans="1:11">
      <c r="A1067" s="79"/>
      <c r="B1067" s="23"/>
      <c r="C1067" s="22"/>
      <c r="D1067" s="22"/>
      <c r="E1067" s="19"/>
      <c r="F1067" s="63"/>
      <c r="G1067" s="186"/>
      <c r="I1067" s="103"/>
      <c r="J1067" s="103"/>
      <c r="K1067" s="103"/>
    </row>
    <row r="1068" spans="1:11">
      <c r="A1068" s="76"/>
      <c r="B1068" s="22" t="s">
        <v>1273</v>
      </c>
      <c r="C1068" s="13" t="s">
        <v>38</v>
      </c>
      <c r="D1068" s="23">
        <f>SUM(D1058:D1066)</f>
        <v>202.20000000000002</v>
      </c>
      <c r="E1068" s="10"/>
      <c r="F1068" s="30">
        <f>E1068*D1068</f>
        <v>0</v>
      </c>
      <c r="G1068" s="193"/>
      <c r="I1068" s="103"/>
      <c r="J1068" s="103"/>
      <c r="K1068" s="103"/>
    </row>
    <row r="1069" spans="1:11">
      <c r="A1069" s="76"/>
      <c r="B1069" s="115"/>
      <c r="C1069" s="13"/>
      <c r="D1069" s="23"/>
      <c r="E1069" s="19"/>
      <c r="F1069" s="30"/>
      <c r="G1069" s="186"/>
      <c r="H1069" s="9"/>
      <c r="I1069" s="103"/>
      <c r="J1069" s="103"/>
      <c r="K1069" s="103"/>
    </row>
    <row r="1070" spans="1:11" ht="25.5">
      <c r="A1070" s="79" t="s">
        <v>519</v>
      </c>
      <c r="B1070" s="225" t="s">
        <v>520</v>
      </c>
      <c r="C1070" s="22"/>
      <c r="D1070" s="22"/>
      <c r="E1070" s="19"/>
      <c r="F1070" s="63"/>
      <c r="G1070" s="186"/>
      <c r="I1070" s="103"/>
      <c r="J1070" s="103"/>
      <c r="K1070" s="103"/>
    </row>
    <row r="1071" spans="1:11">
      <c r="A1071" s="79"/>
      <c r="B1071" s="112" t="s">
        <v>881</v>
      </c>
      <c r="C1071" s="22"/>
      <c r="D1071" s="22"/>
      <c r="E1071" s="19"/>
      <c r="F1071" s="63"/>
      <c r="G1071" s="186"/>
      <c r="I1071" s="103"/>
      <c r="J1071" s="103"/>
      <c r="K1071" s="103"/>
    </row>
    <row r="1072" spans="1:11">
      <c r="A1072" s="213"/>
      <c r="B1072" s="338" t="s">
        <v>882</v>
      </c>
      <c r="C1072" s="221" t="s">
        <v>38</v>
      </c>
      <c r="D1072" s="222">
        <f>4.53+12.45</f>
        <v>16.98</v>
      </c>
      <c r="E1072" s="215"/>
      <c r="F1072" s="212">
        <f>E1072*D1072</f>
        <v>0</v>
      </c>
      <c r="G1072" s="193"/>
      <c r="I1072" s="103"/>
      <c r="J1072" s="103"/>
      <c r="K1072" s="103"/>
    </row>
    <row r="1073" spans="1:11">
      <c r="A1073" s="76"/>
      <c r="B1073" s="115"/>
      <c r="C1073" s="13"/>
      <c r="D1073" s="115"/>
      <c r="E1073" s="19"/>
      <c r="F1073" s="30"/>
      <c r="G1073" s="186"/>
      <c r="H1073" s="9"/>
      <c r="I1073" s="103"/>
      <c r="J1073" s="103"/>
      <c r="K1073" s="103"/>
    </row>
    <row r="1074" spans="1:11" ht="25.5">
      <c r="A1074" s="79" t="s">
        <v>521</v>
      </c>
      <c r="B1074" s="225" t="s">
        <v>1152</v>
      </c>
      <c r="C1074" s="22"/>
      <c r="D1074" s="22"/>
      <c r="E1074" s="19"/>
      <c r="F1074" s="63"/>
      <c r="G1074" s="186"/>
      <c r="I1074" s="103"/>
      <c r="J1074" s="103"/>
      <c r="K1074" s="103"/>
    </row>
    <row r="1075" spans="1:11">
      <c r="A1075" s="79"/>
      <c r="B1075" s="112" t="s">
        <v>522</v>
      </c>
      <c r="C1075" s="22"/>
      <c r="D1075" s="22"/>
      <c r="E1075" s="19"/>
      <c r="F1075" s="63"/>
      <c r="G1075" s="186"/>
      <c r="I1075" s="103"/>
      <c r="J1075" s="103"/>
      <c r="K1075" s="103"/>
    </row>
    <row r="1076" spans="1:11">
      <c r="A1076" s="79"/>
      <c r="B1076" s="112"/>
      <c r="C1076" s="22"/>
      <c r="D1076" s="22"/>
      <c r="E1076" s="19"/>
      <c r="F1076" s="63"/>
      <c r="G1076" s="186"/>
      <c r="I1076" s="103"/>
      <c r="J1076" s="103"/>
      <c r="K1076" s="103"/>
    </row>
    <row r="1077" spans="1:11">
      <c r="A1077" s="79"/>
      <c r="B1077" s="22" t="s">
        <v>27</v>
      </c>
      <c r="C1077" s="22"/>
      <c r="D1077" s="22"/>
      <c r="E1077" s="19"/>
      <c r="F1077" s="63"/>
      <c r="G1077" s="186"/>
      <c r="I1077" s="103"/>
      <c r="J1077" s="103"/>
      <c r="K1077" s="103"/>
    </row>
    <row r="1078" spans="1:11" ht="25.5">
      <c r="A1078" s="79"/>
      <c r="B1078" s="105" t="s">
        <v>879</v>
      </c>
      <c r="C1078" s="22"/>
      <c r="D1078" s="80">
        <f>4.27+1.59+4.61+1.73+4.3+3.96+4.33+1.59+4.67</f>
        <v>31.049999999999997</v>
      </c>
      <c r="E1078" s="19"/>
      <c r="F1078" s="63"/>
      <c r="G1078" s="186"/>
      <c r="I1078" s="103"/>
      <c r="J1078" s="103"/>
      <c r="K1078" s="103"/>
    </row>
    <row r="1079" spans="1:11">
      <c r="A1079" s="79"/>
      <c r="B1079" s="112"/>
      <c r="C1079" s="22"/>
      <c r="D1079" s="22"/>
      <c r="E1079" s="19"/>
      <c r="F1079" s="63"/>
      <c r="G1079" s="186"/>
      <c r="I1079" s="103"/>
      <c r="J1079" s="103"/>
      <c r="K1079" s="103"/>
    </row>
    <row r="1080" spans="1:11">
      <c r="A1080" s="79"/>
      <c r="B1080" s="22" t="s">
        <v>360</v>
      </c>
      <c r="C1080" s="22"/>
      <c r="D1080" s="22"/>
      <c r="E1080" s="19"/>
      <c r="F1080" s="63"/>
      <c r="G1080" s="186"/>
      <c r="I1080" s="103"/>
      <c r="J1080" s="103"/>
      <c r="K1080" s="103"/>
    </row>
    <row r="1081" spans="1:11" ht="25.5">
      <c r="A1081" s="79"/>
      <c r="B1081" s="23" t="s">
        <v>880</v>
      </c>
      <c r="C1081" s="22"/>
      <c r="D1081" s="80">
        <f>4.27+1.59+3.92+3.97+4.3+3.96+4.33+1.59+4.67</f>
        <v>32.6</v>
      </c>
      <c r="E1081" s="19"/>
      <c r="F1081" s="63"/>
      <c r="G1081" s="186"/>
      <c r="I1081" s="103"/>
      <c r="J1081" s="103"/>
      <c r="K1081" s="103"/>
    </row>
    <row r="1082" spans="1:11">
      <c r="A1082" s="79"/>
      <c r="B1082" s="22"/>
      <c r="C1082" s="22"/>
      <c r="D1082" s="22"/>
      <c r="E1082" s="19"/>
      <c r="F1082" s="63"/>
      <c r="G1082" s="186"/>
      <c r="I1082" s="103"/>
      <c r="J1082" s="103"/>
      <c r="K1082" s="103"/>
    </row>
    <row r="1083" spans="1:11">
      <c r="A1083" s="79"/>
      <c r="B1083" s="22" t="s">
        <v>361</v>
      </c>
      <c r="C1083" s="22"/>
      <c r="D1083" s="22"/>
      <c r="E1083" s="19"/>
      <c r="F1083" s="63"/>
      <c r="G1083" s="186"/>
      <c r="I1083" s="103"/>
      <c r="J1083" s="103"/>
      <c r="K1083" s="103"/>
    </row>
    <row r="1084" spans="1:11" ht="25.5">
      <c r="A1084" s="76"/>
      <c r="B1084" s="23" t="s">
        <v>859</v>
      </c>
      <c r="C1084" s="22"/>
      <c r="D1084" s="78">
        <f>(4.27+1.59+3.92+3.97+4.3+3.96+4.33+1.59+4.67)*3</f>
        <v>97.800000000000011</v>
      </c>
      <c r="E1084" s="19"/>
      <c r="F1084" s="63"/>
      <c r="G1084" s="186"/>
      <c r="I1084" s="103"/>
      <c r="J1084" s="103"/>
      <c r="K1084" s="103"/>
    </row>
    <row r="1085" spans="1:11">
      <c r="A1085" s="76"/>
      <c r="B1085" s="23"/>
      <c r="C1085" s="22"/>
      <c r="D1085" s="22"/>
      <c r="E1085" s="19"/>
      <c r="F1085" s="30">
        <f>E1085*D1085</f>
        <v>0</v>
      </c>
      <c r="G1085" s="186"/>
      <c r="H1085" s="9"/>
      <c r="I1085" s="103"/>
      <c r="J1085" s="103"/>
      <c r="K1085" s="103"/>
    </row>
    <row r="1086" spans="1:11">
      <c r="A1086" s="76"/>
      <c r="B1086" s="22" t="s">
        <v>1274</v>
      </c>
      <c r="C1086" s="13" t="s">
        <v>38</v>
      </c>
      <c r="D1086" s="23">
        <f>SUM(D1078:D1084)</f>
        <v>161.45000000000002</v>
      </c>
      <c r="E1086" s="10"/>
      <c r="F1086" s="30">
        <f>E1086*D1086</f>
        <v>0</v>
      </c>
      <c r="G1086" s="193"/>
      <c r="I1086" s="103"/>
      <c r="J1086" s="103"/>
      <c r="K1086" s="103"/>
    </row>
    <row r="1087" spans="1:11">
      <c r="A1087" s="76"/>
      <c r="B1087" s="103"/>
      <c r="C1087" s="13"/>
      <c r="D1087" s="23"/>
      <c r="E1087" s="19"/>
      <c r="F1087" s="63"/>
      <c r="G1087" s="186"/>
      <c r="I1087" s="103"/>
      <c r="J1087" s="103"/>
      <c r="K1087" s="103"/>
    </row>
    <row r="1088" spans="1:11" ht="25.5">
      <c r="A1088" s="79" t="s">
        <v>523</v>
      </c>
      <c r="B1088" s="225" t="s">
        <v>1153</v>
      </c>
      <c r="C1088" s="22"/>
      <c r="D1088" s="22"/>
      <c r="E1088" s="19"/>
      <c r="F1088" s="63"/>
      <c r="G1088" s="186"/>
      <c r="I1088" s="103"/>
      <c r="J1088" s="103"/>
      <c r="K1088" s="103"/>
    </row>
    <row r="1089" spans="1:14">
      <c r="A1089" s="76"/>
      <c r="B1089" s="112" t="s">
        <v>524</v>
      </c>
      <c r="C1089" s="13" t="s">
        <v>38</v>
      </c>
      <c r="D1089" s="23">
        <v>3.92</v>
      </c>
      <c r="E1089" s="10"/>
      <c r="F1089" s="30">
        <f>E1089*D1089</f>
        <v>0</v>
      </c>
      <c r="G1089" s="193"/>
      <c r="H1089" s="9"/>
      <c r="I1089" s="103"/>
      <c r="J1089" s="103"/>
      <c r="K1089" s="103"/>
    </row>
    <row r="1090" spans="1:14">
      <c r="A1090" s="76"/>
      <c r="B1090" s="112"/>
      <c r="C1090" s="13"/>
      <c r="D1090" s="23"/>
      <c r="E1090" s="10"/>
      <c r="F1090" s="30"/>
      <c r="G1090" s="193"/>
      <c r="H1090" s="9"/>
      <c r="I1090" s="103"/>
      <c r="J1090" s="103"/>
      <c r="K1090" s="103"/>
    </row>
    <row r="1091" spans="1:14" ht="25.5">
      <c r="A1091" s="79" t="s">
        <v>1088</v>
      </c>
      <c r="B1091" s="225" t="s">
        <v>1154</v>
      </c>
      <c r="C1091" s="22"/>
      <c r="D1091" s="22"/>
      <c r="E1091" s="19"/>
      <c r="F1091" s="63"/>
      <c r="G1091" s="186"/>
      <c r="H1091" s="9"/>
      <c r="I1091" s="103"/>
      <c r="J1091" s="103"/>
      <c r="K1091" s="103"/>
    </row>
    <row r="1092" spans="1:14">
      <c r="A1092" s="76"/>
      <c r="B1092" s="112" t="s">
        <v>1089</v>
      </c>
      <c r="C1092" s="13" t="s">
        <v>38</v>
      </c>
      <c r="D1092" s="23">
        <v>10.39</v>
      </c>
      <c r="E1092" s="10"/>
      <c r="F1092" s="30">
        <f>E1092*D1092</f>
        <v>0</v>
      </c>
      <c r="G1092" s="193"/>
      <c r="H1092" s="9"/>
      <c r="I1092" s="103"/>
      <c r="J1092" s="103"/>
      <c r="K1092" s="103"/>
    </row>
    <row r="1093" spans="1:14">
      <c r="A1093" s="76"/>
      <c r="B1093" s="164"/>
      <c r="C1093" s="22"/>
      <c r="D1093" s="26"/>
      <c r="E1093" s="19"/>
      <c r="F1093" s="63"/>
      <c r="G1093" s="186"/>
      <c r="I1093" s="103"/>
      <c r="J1093" s="103"/>
      <c r="K1093" s="103"/>
    </row>
    <row r="1094" spans="1:14" ht="25.5">
      <c r="A1094" s="76" t="s">
        <v>13</v>
      </c>
      <c r="B1094" s="89" t="s">
        <v>525</v>
      </c>
      <c r="C1094" s="22"/>
      <c r="D1094" s="26"/>
      <c r="E1094" s="19"/>
      <c r="F1094" s="63"/>
      <c r="G1094" s="186"/>
      <c r="I1094" s="103"/>
      <c r="J1094" s="103"/>
      <c r="K1094" s="103"/>
    </row>
    <row r="1095" spans="1:14" ht="89.25">
      <c r="A1095" s="76"/>
      <c r="B1095" s="33" t="s">
        <v>526</v>
      </c>
      <c r="C1095" s="22"/>
      <c r="D1095" s="26"/>
      <c r="E1095" s="19"/>
      <c r="F1095" s="63"/>
      <c r="G1095" s="186"/>
      <c r="I1095" s="103"/>
      <c r="J1095" s="103"/>
      <c r="K1095" s="103"/>
    </row>
    <row r="1096" spans="1:14" ht="51">
      <c r="A1096" s="76"/>
      <c r="B1096" s="33" t="s">
        <v>527</v>
      </c>
      <c r="C1096" s="22"/>
      <c r="D1096" s="26"/>
      <c r="E1096" s="19"/>
      <c r="F1096" s="63"/>
      <c r="G1096" s="186"/>
      <c r="I1096" s="103"/>
      <c r="J1096" s="103"/>
      <c r="K1096" s="103"/>
    </row>
    <row r="1097" spans="1:14" ht="25.5">
      <c r="A1097" s="76"/>
      <c r="B1097" s="33" t="s">
        <v>515</v>
      </c>
      <c r="C1097" s="22"/>
      <c r="D1097" s="26"/>
      <c r="E1097" s="19"/>
      <c r="F1097" s="63"/>
      <c r="G1097" s="186"/>
      <c r="I1097" s="103"/>
      <c r="J1097" s="103"/>
      <c r="K1097" s="103"/>
    </row>
    <row r="1098" spans="1:14" ht="89.25">
      <c r="A1098" s="204"/>
      <c r="B1098" s="326" t="s">
        <v>516</v>
      </c>
      <c r="C1098" s="208" t="s">
        <v>38</v>
      </c>
      <c r="D1098" s="220">
        <v>9.1300000000000008</v>
      </c>
      <c r="E1098" s="215"/>
      <c r="F1098" s="212">
        <f>E1098*D1098</f>
        <v>0</v>
      </c>
      <c r="G1098" s="193"/>
      <c r="I1098" s="103"/>
      <c r="J1098" s="103"/>
      <c r="K1098" s="103"/>
    </row>
    <row r="1099" spans="1:14">
      <c r="A1099" s="87"/>
      <c r="B1099" s="23"/>
      <c r="C1099" s="13"/>
      <c r="D1099" s="23"/>
      <c r="E1099" s="19"/>
      <c r="F1099" s="30"/>
      <c r="G1099" s="186"/>
      <c r="H1099" s="9"/>
      <c r="I1099" s="103"/>
      <c r="J1099" s="103"/>
      <c r="K1099" s="103"/>
    </row>
    <row r="1100" spans="1:14" ht="89.25">
      <c r="A1100" s="76" t="s">
        <v>1275</v>
      </c>
      <c r="B1100" s="339" t="s">
        <v>726</v>
      </c>
      <c r="C1100" s="24"/>
      <c r="D1100" s="78"/>
      <c r="E1100" s="340"/>
      <c r="F1100" s="20"/>
      <c r="G1100" s="186"/>
      <c r="I1100" s="103"/>
      <c r="J1100" s="103"/>
      <c r="K1100" s="103"/>
    </row>
    <row r="1101" spans="1:14">
      <c r="A1101" s="76"/>
      <c r="B1101" s="12" t="s">
        <v>99</v>
      </c>
      <c r="C1101" s="24" t="s">
        <v>32</v>
      </c>
      <c r="D1101" s="144">
        <f>2*5</f>
        <v>10</v>
      </c>
      <c r="E1101" s="341"/>
      <c r="F1101" s="20">
        <f>E1101*D1101</f>
        <v>0</v>
      </c>
      <c r="G1101" s="193"/>
      <c r="H1101" s="407"/>
      <c r="I1101" s="103"/>
      <c r="J1101" s="103"/>
      <c r="K1101" s="103"/>
    </row>
    <row r="1102" spans="1:14" ht="13.5" thickBot="1">
      <c r="A1102" s="137"/>
      <c r="B1102" s="80"/>
      <c r="C1102" s="41"/>
      <c r="D1102" s="136"/>
      <c r="E1102" s="19"/>
      <c r="F1102" s="130"/>
      <c r="G1102" s="186"/>
      <c r="H1102" s="152"/>
      <c r="I1102" s="103"/>
      <c r="J1102" s="103"/>
      <c r="K1102" s="103"/>
    </row>
    <row r="1103" spans="1:14" ht="15.75" thickBot="1">
      <c r="A1103" s="153" t="str">
        <f>A1016</f>
        <v>7.</v>
      </c>
      <c r="B1103" s="223" t="s">
        <v>106</v>
      </c>
      <c r="C1103" s="59"/>
      <c r="D1103" s="60"/>
      <c r="E1103" s="274"/>
      <c r="F1103" s="154">
        <f>SUM(F1017:F1102)</f>
        <v>0</v>
      </c>
      <c r="G1103" s="396"/>
      <c r="H1103" s="313"/>
      <c r="I1103" s="397"/>
      <c r="J1103" s="398"/>
      <c r="K1103" s="398"/>
      <c r="L1103" s="2"/>
      <c r="M1103" s="2"/>
      <c r="N1103" s="1"/>
    </row>
    <row r="1104" spans="1:14" ht="15.75" thickBot="1">
      <c r="A1104" s="62" t="s">
        <v>14</v>
      </c>
      <c r="B1104" s="72" t="s">
        <v>18</v>
      </c>
      <c r="C1104" s="73"/>
      <c r="D1104" s="74"/>
      <c r="E1104" s="169"/>
      <c r="F1104" s="75"/>
      <c r="G1104" s="399"/>
      <c r="H1104" s="313"/>
      <c r="I1104" s="397"/>
      <c r="J1104" s="398"/>
      <c r="K1104" s="398"/>
      <c r="L1104" s="2"/>
      <c r="M1104" s="2"/>
      <c r="N1104" s="1"/>
    </row>
    <row r="1105" spans="1:11" ht="15">
      <c r="A1105" s="42"/>
      <c r="B1105" s="233" t="s">
        <v>61</v>
      </c>
      <c r="C1105" s="18"/>
      <c r="D1105" s="18"/>
      <c r="E1105" s="19"/>
      <c r="F1105" s="31"/>
      <c r="G1105" s="186"/>
      <c r="H1105" s="8"/>
      <c r="I1105" s="103"/>
      <c r="J1105" s="103"/>
      <c r="K1105" s="103"/>
    </row>
    <row r="1106" spans="1:11" ht="51">
      <c r="A1106" s="32"/>
      <c r="B1106" s="234" t="s">
        <v>244</v>
      </c>
      <c r="C1106" s="22"/>
      <c r="D1106" s="22"/>
      <c r="E1106" s="19"/>
      <c r="F1106" s="63"/>
      <c r="G1106" s="186"/>
      <c r="I1106" s="103"/>
      <c r="J1106" s="103"/>
      <c r="K1106" s="103"/>
    </row>
    <row r="1107" spans="1:11" ht="38.25">
      <c r="A1107" s="32"/>
      <c r="B1107" s="225" t="s">
        <v>245</v>
      </c>
      <c r="C1107" s="22"/>
      <c r="D1107" s="22"/>
      <c r="E1107" s="19"/>
      <c r="F1107" s="63"/>
      <c r="G1107" s="186"/>
      <c r="I1107" s="103"/>
      <c r="J1107" s="103"/>
      <c r="K1107" s="103"/>
    </row>
    <row r="1108" spans="1:11" ht="38.25">
      <c r="A1108" s="32"/>
      <c r="B1108" s="225" t="s">
        <v>772</v>
      </c>
      <c r="C1108" s="22"/>
      <c r="D1108" s="22"/>
      <c r="E1108" s="19"/>
      <c r="F1108" s="63"/>
      <c r="G1108" s="186"/>
      <c r="I1108" s="103"/>
      <c r="J1108" s="103"/>
      <c r="K1108" s="103"/>
    </row>
    <row r="1109" spans="1:11" ht="38.25">
      <c r="A1109" s="32"/>
      <c r="B1109" s="225" t="s">
        <v>246</v>
      </c>
      <c r="C1109" s="22"/>
      <c r="D1109" s="22"/>
      <c r="E1109" s="19"/>
      <c r="F1109" s="63"/>
      <c r="G1109" s="186"/>
      <c r="I1109" s="103"/>
      <c r="J1109" s="103"/>
      <c r="K1109" s="103"/>
    </row>
    <row r="1110" spans="1:11" ht="63.75">
      <c r="A1110" s="32"/>
      <c r="B1110" s="225" t="s">
        <v>247</v>
      </c>
      <c r="C1110" s="22"/>
      <c r="D1110" s="22"/>
      <c r="E1110" s="19"/>
      <c r="F1110" s="63"/>
      <c r="G1110" s="186"/>
      <c r="I1110" s="103"/>
      <c r="J1110" s="103"/>
      <c r="K1110" s="103"/>
    </row>
    <row r="1111" spans="1:11" ht="25.5">
      <c r="A1111" s="32"/>
      <c r="B1111" s="225" t="s">
        <v>248</v>
      </c>
      <c r="C1111" s="22"/>
      <c r="D1111" s="22"/>
      <c r="E1111" s="19"/>
      <c r="F1111" s="63"/>
      <c r="G1111" s="186"/>
      <c r="I1111" s="103"/>
      <c r="J1111" s="103"/>
      <c r="K1111" s="103"/>
    </row>
    <row r="1112" spans="1:11" ht="25.5">
      <c r="A1112" s="32"/>
      <c r="B1112" s="225" t="s">
        <v>249</v>
      </c>
      <c r="C1112" s="22"/>
      <c r="D1112" s="22"/>
      <c r="E1112" s="19"/>
      <c r="F1112" s="63"/>
      <c r="G1112" s="186"/>
      <c r="I1112" s="103"/>
      <c r="J1112" s="103"/>
      <c r="K1112" s="103"/>
    </row>
    <row r="1113" spans="1:11" ht="38.25">
      <c r="A1113" s="32"/>
      <c r="B1113" s="225" t="s">
        <v>528</v>
      </c>
      <c r="C1113" s="22"/>
      <c r="D1113" s="22"/>
      <c r="E1113" s="19"/>
      <c r="F1113" s="63"/>
      <c r="G1113" s="186"/>
      <c r="I1113" s="103"/>
      <c r="J1113" s="103"/>
      <c r="K1113" s="103"/>
    </row>
    <row r="1114" spans="1:11">
      <c r="A1114" s="42"/>
      <c r="B1114" s="92"/>
      <c r="C1114" s="18"/>
      <c r="D1114" s="18"/>
      <c r="E1114" s="19"/>
      <c r="F1114" s="31"/>
      <c r="G1114" s="186"/>
      <c r="H1114" s="8"/>
      <c r="I1114" s="103"/>
      <c r="J1114" s="103"/>
      <c r="K1114" s="103"/>
    </row>
    <row r="1115" spans="1:11" ht="15">
      <c r="A1115" s="32"/>
      <c r="B1115" s="178" t="s">
        <v>745</v>
      </c>
      <c r="C1115" s="18"/>
      <c r="D1115" s="18"/>
      <c r="E1115" s="19"/>
      <c r="F1115" s="31"/>
      <c r="G1115" s="186"/>
      <c r="H1115" s="8"/>
      <c r="I1115" s="103"/>
      <c r="J1115" s="103"/>
      <c r="K1115" s="103"/>
    </row>
    <row r="1116" spans="1:11" ht="38.25">
      <c r="A1116" s="278" t="s">
        <v>15</v>
      </c>
      <c r="B1116" s="34" t="s">
        <v>738</v>
      </c>
      <c r="C1116" s="18"/>
      <c r="D1116" s="18"/>
      <c r="E1116" s="19"/>
      <c r="F1116" s="31"/>
      <c r="G1116" s="186"/>
      <c r="H1116" s="8"/>
      <c r="I1116" s="103"/>
      <c r="J1116" s="103"/>
      <c r="K1116" s="103"/>
    </row>
    <row r="1117" spans="1:11" ht="63.75">
      <c r="A1117" s="42"/>
      <c r="B1117" s="25" t="s">
        <v>773</v>
      </c>
      <c r="C1117" s="18"/>
      <c r="D1117" s="18"/>
      <c r="E1117" s="19"/>
      <c r="F1117" s="31"/>
      <c r="G1117" s="186"/>
      <c r="H1117" s="8"/>
      <c r="I1117" s="103"/>
      <c r="J1117" s="103"/>
      <c r="K1117" s="103"/>
    </row>
    <row r="1118" spans="1:11" ht="63.75">
      <c r="A1118" s="42"/>
      <c r="B1118" s="25" t="s">
        <v>740</v>
      </c>
      <c r="C1118" s="18"/>
      <c r="D1118" s="18"/>
      <c r="E1118" s="19"/>
      <c r="F1118" s="31"/>
      <c r="G1118" s="186"/>
      <c r="H1118" s="8"/>
      <c r="I1118" s="103"/>
      <c r="J1118" s="103"/>
      <c r="K1118" s="103"/>
    </row>
    <row r="1119" spans="1:11" ht="76.5">
      <c r="A1119" s="42"/>
      <c r="B1119" s="25" t="s">
        <v>741</v>
      </c>
      <c r="C1119" s="18"/>
      <c r="D1119" s="18"/>
      <c r="E1119" s="19"/>
      <c r="F1119" s="31"/>
      <c r="G1119" s="186"/>
      <c r="H1119" s="8"/>
      <c r="I1119" s="103"/>
      <c r="J1119" s="103"/>
      <c r="K1119" s="103"/>
    </row>
    <row r="1120" spans="1:11" ht="51">
      <c r="A1120" s="277"/>
      <c r="B1120" s="275" t="s">
        <v>742</v>
      </c>
      <c r="C1120" s="279"/>
      <c r="D1120" s="279"/>
      <c r="E1120" s="210"/>
      <c r="F1120" s="211"/>
      <c r="G1120" s="186"/>
      <c r="H1120" s="8"/>
      <c r="I1120" s="103"/>
      <c r="J1120" s="103"/>
      <c r="K1120" s="103"/>
    </row>
    <row r="1121" spans="1:14">
      <c r="A1121" s="42"/>
      <c r="B1121" s="25"/>
      <c r="C1121" s="18"/>
      <c r="D1121" s="18"/>
      <c r="E1121" s="19"/>
      <c r="F1121" s="31"/>
      <c r="G1121" s="186"/>
      <c r="H1121" s="8"/>
      <c r="I1121" s="103"/>
      <c r="J1121" s="103"/>
      <c r="K1121" s="103"/>
    </row>
    <row r="1122" spans="1:14" ht="51">
      <c r="A1122" s="42"/>
      <c r="B1122" s="25" t="s">
        <v>743</v>
      </c>
      <c r="C1122" s="18"/>
      <c r="D1122" s="18"/>
      <c r="E1122" s="19"/>
      <c r="F1122" s="31"/>
      <c r="G1122" s="186"/>
      <c r="H1122" s="8"/>
      <c r="I1122" s="103"/>
      <c r="J1122" s="103"/>
      <c r="K1122" s="103"/>
    </row>
    <row r="1123" spans="1:14" ht="51">
      <c r="A1123" s="42"/>
      <c r="B1123" s="16" t="s">
        <v>1220</v>
      </c>
      <c r="C1123" s="18"/>
      <c r="D1123" s="18"/>
      <c r="E1123" s="19"/>
      <c r="F1123" s="31"/>
      <c r="G1123" s="186"/>
      <c r="H1123" s="8"/>
      <c r="I1123" s="103"/>
      <c r="J1123" s="103"/>
      <c r="K1123" s="103"/>
    </row>
    <row r="1124" spans="1:14" ht="25.5">
      <c r="A1124" s="42"/>
      <c r="B1124" s="25" t="s">
        <v>243</v>
      </c>
      <c r="C1124" s="18"/>
      <c r="D1124" s="18"/>
      <c r="E1124" s="19"/>
      <c r="F1124" s="31"/>
      <c r="G1124" s="186"/>
      <c r="H1124" s="8"/>
      <c r="I1124" s="103"/>
      <c r="J1124" s="103"/>
      <c r="K1124" s="103"/>
    </row>
    <row r="1125" spans="1:14" ht="25.5">
      <c r="A1125" s="42"/>
      <c r="B1125" s="25" t="s">
        <v>120</v>
      </c>
      <c r="C1125" s="18"/>
      <c r="D1125" s="18"/>
      <c r="E1125" s="19"/>
      <c r="F1125" s="31"/>
      <c r="G1125" s="186"/>
      <c r="H1125" s="8"/>
      <c r="I1125" s="103"/>
      <c r="J1125" s="103"/>
      <c r="K1125" s="103"/>
    </row>
    <row r="1126" spans="1:14">
      <c r="A1126" s="42"/>
      <c r="B1126" s="25"/>
      <c r="C1126" s="18"/>
      <c r="D1126" s="18"/>
      <c r="E1126" s="19"/>
      <c r="F1126" s="31"/>
      <c r="G1126" s="186"/>
      <c r="H1126" s="8"/>
      <c r="I1126" s="103"/>
      <c r="J1126" s="103"/>
      <c r="K1126" s="103"/>
    </row>
    <row r="1127" spans="1:14">
      <c r="A1127" s="42"/>
      <c r="B1127" s="10" t="s">
        <v>774</v>
      </c>
      <c r="C1127" s="13"/>
      <c r="D1127" s="10"/>
      <c r="E1127" s="19"/>
      <c r="F1127" s="20"/>
      <c r="G1127" s="186"/>
      <c r="H1127" s="8"/>
      <c r="I1127" s="103"/>
      <c r="J1127" s="103"/>
      <c r="K1127" s="103"/>
    </row>
    <row r="1128" spans="1:14" ht="25.5">
      <c r="A1128" s="42"/>
      <c r="B1128" s="25" t="s">
        <v>744</v>
      </c>
      <c r="C1128" s="13"/>
      <c r="D1128" s="10"/>
      <c r="E1128" s="19"/>
      <c r="F1128" s="20"/>
      <c r="G1128" s="186"/>
      <c r="H1128" s="8"/>
      <c r="I1128" s="103"/>
      <c r="J1128" s="103"/>
      <c r="K1128" s="103"/>
    </row>
    <row r="1129" spans="1:14">
      <c r="A1129" s="42"/>
      <c r="B1129" s="10" t="s">
        <v>68</v>
      </c>
      <c r="C1129" s="13" t="s">
        <v>32</v>
      </c>
      <c r="D1129" s="36">
        <v>34</v>
      </c>
      <c r="E1129" s="10"/>
      <c r="F1129" s="20">
        <f>D1129*E1129</f>
        <v>0</v>
      </c>
      <c r="G1129" s="193"/>
      <c r="H1129" s="8"/>
      <c r="I1129" s="103"/>
      <c r="J1129" s="103"/>
      <c r="K1129" s="103"/>
    </row>
    <row r="1130" spans="1:14">
      <c r="A1130" s="42"/>
      <c r="B1130" s="92"/>
      <c r="C1130" s="18"/>
      <c r="D1130" s="18"/>
      <c r="E1130" s="19"/>
      <c r="F1130" s="31"/>
      <c r="G1130" s="186"/>
      <c r="H1130" s="8"/>
      <c r="I1130" s="103"/>
      <c r="J1130" s="103"/>
      <c r="K1130" s="103"/>
    </row>
    <row r="1131" spans="1:14" ht="15">
      <c r="A1131" s="32"/>
      <c r="B1131" s="178" t="s">
        <v>529</v>
      </c>
      <c r="C1131" s="165"/>
      <c r="D1131" s="165"/>
      <c r="E1131" s="166"/>
      <c r="F1131" s="235"/>
      <c r="G1131" s="408"/>
      <c r="H1131" s="342"/>
      <c r="I1131" s="409"/>
      <c r="J1131" s="409"/>
      <c r="K1131" s="409"/>
      <c r="L1131" s="167"/>
      <c r="M1131" s="167"/>
      <c r="N1131" s="167"/>
    </row>
    <row r="1132" spans="1:14" ht="25.5">
      <c r="A1132" s="278" t="s">
        <v>66</v>
      </c>
      <c r="B1132" s="34" t="s">
        <v>530</v>
      </c>
      <c r="C1132" s="18"/>
      <c r="D1132" s="18"/>
      <c r="E1132" s="19"/>
      <c r="F1132" s="31"/>
      <c r="G1132" s="186"/>
      <c r="H1132" s="8"/>
      <c r="I1132" s="103"/>
      <c r="J1132" s="103"/>
      <c r="K1132" s="103"/>
    </row>
    <row r="1133" spans="1:14" ht="76.5">
      <c r="A1133" s="76"/>
      <c r="B1133" s="25" t="s">
        <v>739</v>
      </c>
      <c r="C1133" s="18"/>
      <c r="D1133" s="18"/>
      <c r="E1133" s="19"/>
      <c r="F1133" s="31"/>
      <c r="G1133" s="186"/>
      <c r="H1133" s="8"/>
      <c r="I1133" s="410"/>
      <c r="J1133" s="232"/>
      <c r="K1133" s="103"/>
    </row>
    <row r="1134" spans="1:14" ht="63.75">
      <c r="A1134" s="76"/>
      <c r="B1134" s="25" t="s">
        <v>740</v>
      </c>
      <c r="C1134" s="24"/>
      <c r="D1134" s="144"/>
      <c r="E1134" s="19"/>
      <c r="F1134" s="20"/>
      <c r="G1134" s="186"/>
      <c r="I1134" s="103"/>
      <c r="J1134" s="103"/>
      <c r="K1134" s="103"/>
    </row>
    <row r="1135" spans="1:14" ht="76.5">
      <c r="A1135" s="76"/>
      <c r="B1135" s="25" t="s">
        <v>746</v>
      </c>
      <c r="C1135" s="24"/>
      <c r="D1135" s="144"/>
      <c r="E1135" s="19"/>
      <c r="F1135" s="20"/>
      <c r="G1135" s="186"/>
      <c r="I1135" s="103"/>
      <c r="J1135" s="103"/>
      <c r="K1135" s="103"/>
    </row>
    <row r="1136" spans="1:14" ht="51">
      <c r="A1136" s="76"/>
      <c r="B1136" s="25" t="s">
        <v>742</v>
      </c>
      <c r="C1136" s="24"/>
      <c r="D1136" s="144"/>
      <c r="E1136" s="19"/>
      <c r="F1136" s="20"/>
      <c r="G1136" s="186"/>
      <c r="I1136" s="103"/>
      <c r="J1136" s="103"/>
      <c r="K1136" s="103"/>
    </row>
    <row r="1137" spans="1:14" ht="51">
      <c r="A1137" s="76"/>
      <c r="B1137" s="25" t="s">
        <v>743</v>
      </c>
      <c r="C1137" s="24"/>
      <c r="D1137" s="144"/>
      <c r="E1137" s="19"/>
      <c r="F1137" s="20"/>
      <c r="G1137" s="186"/>
      <c r="I1137" s="103"/>
      <c r="J1137" s="103"/>
      <c r="K1137" s="103"/>
    </row>
    <row r="1138" spans="1:14" ht="25.5">
      <c r="A1138" s="204"/>
      <c r="B1138" s="275" t="s">
        <v>243</v>
      </c>
      <c r="C1138" s="202"/>
      <c r="D1138" s="276"/>
      <c r="E1138" s="210"/>
      <c r="F1138" s="199"/>
      <c r="G1138" s="186"/>
      <c r="I1138" s="103"/>
      <c r="J1138" s="103"/>
      <c r="K1138" s="103"/>
    </row>
    <row r="1139" spans="1:14">
      <c r="A1139" s="76"/>
      <c r="B1139" s="25"/>
      <c r="C1139" s="24"/>
      <c r="D1139" s="144"/>
      <c r="E1139" s="19"/>
      <c r="F1139" s="20"/>
      <c r="G1139" s="186"/>
      <c r="I1139" s="103"/>
      <c r="J1139" s="103"/>
      <c r="K1139" s="103"/>
    </row>
    <row r="1140" spans="1:14" ht="25.5">
      <c r="A1140" s="42"/>
      <c r="B1140" s="25" t="s">
        <v>120</v>
      </c>
      <c r="C1140" s="18"/>
      <c r="D1140" s="18"/>
      <c r="E1140" s="19"/>
      <c r="F1140" s="31"/>
      <c r="G1140" s="186"/>
      <c r="H1140" s="8"/>
      <c r="I1140" s="103"/>
      <c r="J1140" s="103"/>
      <c r="K1140" s="103"/>
    </row>
    <row r="1141" spans="1:14">
      <c r="A1141" s="42"/>
      <c r="B1141" s="25"/>
      <c r="C1141" s="18"/>
      <c r="D1141" s="18"/>
      <c r="E1141" s="19"/>
      <c r="F1141" s="31"/>
      <c r="G1141" s="186"/>
      <c r="H1141" s="8"/>
      <c r="I1141" s="103"/>
      <c r="J1141" s="103"/>
      <c r="K1141" s="103"/>
      <c r="L1141" s="103"/>
      <c r="M1141" s="103"/>
      <c r="N1141" s="103"/>
    </row>
    <row r="1142" spans="1:14">
      <c r="A1142" s="37"/>
      <c r="B1142" s="10" t="s">
        <v>111</v>
      </c>
      <c r="C1142" s="13"/>
      <c r="D1142" s="10"/>
      <c r="E1142" s="19"/>
      <c r="F1142" s="31"/>
      <c r="G1142" s="186"/>
      <c r="H1142" s="9"/>
      <c r="I1142" s="103"/>
      <c r="J1142" s="103"/>
      <c r="K1142" s="103"/>
    </row>
    <row r="1143" spans="1:14">
      <c r="A1143" s="42"/>
      <c r="B1143" s="12" t="s">
        <v>543</v>
      </c>
      <c r="C1143" s="13" t="s">
        <v>32</v>
      </c>
      <c r="D1143" s="179">
        <v>10</v>
      </c>
      <c r="E1143" s="10"/>
      <c r="F1143" s="31">
        <f>D1143*E1143</f>
        <v>0</v>
      </c>
      <c r="G1143" s="193"/>
      <c r="H1143" s="9"/>
      <c r="I1143" s="103"/>
      <c r="J1143" s="103"/>
      <c r="K1143" s="103"/>
    </row>
    <row r="1144" spans="1:14">
      <c r="A1144" s="42"/>
      <c r="B1144" s="12"/>
      <c r="C1144" s="13"/>
      <c r="D1144" s="179"/>
      <c r="E1144" s="10"/>
      <c r="F1144" s="31"/>
      <c r="G1144" s="193"/>
      <c r="H1144" s="9"/>
      <c r="I1144" s="103"/>
      <c r="J1144" s="103"/>
      <c r="K1144" s="103"/>
    </row>
    <row r="1145" spans="1:14">
      <c r="A1145" s="42"/>
      <c r="B1145" s="10" t="s">
        <v>883</v>
      </c>
      <c r="C1145" s="13"/>
      <c r="D1145" s="10"/>
      <c r="E1145" s="19"/>
      <c r="F1145" s="31"/>
      <c r="G1145" s="193"/>
      <c r="H1145" s="9"/>
      <c r="I1145" s="103"/>
      <c r="J1145" s="103"/>
      <c r="K1145" s="103"/>
    </row>
    <row r="1146" spans="1:14">
      <c r="A1146" s="42"/>
      <c r="B1146" s="12" t="s">
        <v>884</v>
      </c>
      <c r="C1146" s="13" t="s">
        <v>32</v>
      </c>
      <c r="D1146" s="179">
        <v>25</v>
      </c>
      <c r="E1146" s="10"/>
      <c r="F1146" s="31">
        <f>D1146*E1146</f>
        <v>0</v>
      </c>
      <c r="G1146" s="193"/>
      <c r="H1146" s="9"/>
      <c r="I1146" s="103"/>
      <c r="J1146" s="103"/>
      <c r="K1146" s="103"/>
    </row>
    <row r="1147" spans="1:14">
      <c r="A1147" s="42"/>
      <c r="B1147" s="12"/>
      <c r="C1147" s="13"/>
      <c r="D1147" s="36"/>
      <c r="E1147" s="19"/>
      <c r="F1147" s="31"/>
      <c r="G1147" s="186"/>
      <c r="H1147" s="9"/>
      <c r="I1147" s="103"/>
      <c r="J1147" s="103"/>
      <c r="K1147" s="103"/>
    </row>
    <row r="1148" spans="1:14">
      <c r="A1148" s="42"/>
      <c r="B1148" s="10" t="s">
        <v>885</v>
      </c>
      <c r="C1148" s="13"/>
      <c r="D1148" s="10"/>
      <c r="E1148" s="19"/>
      <c r="F1148" s="31"/>
      <c r="G1148" s="186"/>
      <c r="H1148" s="9"/>
      <c r="I1148" s="103"/>
      <c r="J1148" s="103"/>
      <c r="K1148" s="103"/>
    </row>
    <row r="1149" spans="1:14">
      <c r="A1149" s="42"/>
      <c r="B1149" s="12" t="s">
        <v>886</v>
      </c>
      <c r="C1149" s="13" t="s">
        <v>32</v>
      </c>
      <c r="D1149" s="179">
        <v>10</v>
      </c>
      <c r="E1149" s="10"/>
      <c r="F1149" s="31">
        <f>D1149*E1149</f>
        <v>0</v>
      </c>
      <c r="G1149" s="186"/>
      <c r="H1149" s="9"/>
      <c r="I1149" s="103"/>
      <c r="J1149" s="103"/>
      <c r="K1149" s="103"/>
    </row>
    <row r="1150" spans="1:14">
      <c r="A1150" s="42"/>
      <c r="B1150" s="12"/>
      <c r="C1150" s="13"/>
      <c r="D1150" s="36"/>
      <c r="E1150" s="19"/>
      <c r="F1150" s="31"/>
      <c r="G1150" s="186"/>
      <c r="H1150" s="9"/>
      <c r="I1150" s="103"/>
      <c r="J1150" s="103"/>
      <c r="K1150" s="103"/>
    </row>
    <row r="1151" spans="1:14">
      <c r="A1151" s="42"/>
      <c r="B1151" s="10" t="s">
        <v>889</v>
      </c>
      <c r="C1151" s="13"/>
      <c r="D1151" s="10"/>
      <c r="E1151" s="19"/>
      <c r="F1151" s="31"/>
      <c r="G1151" s="186"/>
      <c r="H1151" s="9"/>
      <c r="I1151" s="103"/>
      <c r="J1151" s="103"/>
      <c r="K1151" s="103"/>
    </row>
    <row r="1152" spans="1:14">
      <c r="A1152" s="42"/>
      <c r="B1152" s="12" t="s">
        <v>890</v>
      </c>
      <c r="C1152" s="13" t="s">
        <v>32</v>
      </c>
      <c r="D1152" s="179">
        <v>5</v>
      </c>
      <c r="E1152" s="10"/>
      <c r="F1152" s="31">
        <f>D1152*E1152</f>
        <v>0</v>
      </c>
      <c r="G1152" s="186"/>
      <c r="H1152" s="9"/>
      <c r="I1152" s="103"/>
      <c r="J1152" s="103"/>
      <c r="K1152" s="103"/>
    </row>
    <row r="1153" spans="1:11">
      <c r="A1153" s="42"/>
      <c r="B1153" s="12"/>
      <c r="C1153" s="13"/>
      <c r="D1153" s="36"/>
      <c r="E1153" s="19"/>
      <c r="F1153" s="31"/>
      <c r="G1153" s="186"/>
      <c r="H1153" s="9"/>
      <c r="I1153" s="103"/>
      <c r="J1153" s="103"/>
      <c r="K1153" s="103"/>
    </row>
    <row r="1154" spans="1:11" ht="15">
      <c r="A1154" s="32"/>
      <c r="B1154" s="180" t="s">
        <v>529</v>
      </c>
      <c r="C1154" s="165"/>
      <c r="D1154" s="165"/>
      <c r="E1154" s="166"/>
      <c r="F1154" s="235"/>
      <c r="G1154" s="186"/>
      <c r="H1154" s="9"/>
      <c r="I1154" s="103"/>
      <c r="J1154" s="103"/>
      <c r="K1154" s="103"/>
    </row>
    <row r="1155" spans="1:11" ht="25.5">
      <c r="A1155" s="278" t="s">
        <v>67</v>
      </c>
      <c r="B1155" s="25" t="s">
        <v>530</v>
      </c>
      <c r="C1155" s="18"/>
      <c r="D1155" s="18"/>
      <c r="E1155" s="19"/>
      <c r="F1155" s="31"/>
      <c r="G1155" s="186"/>
      <c r="H1155" s="9"/>
      <c r="I1155" s="103"/>
      <c r="J1155" s="103"/>
      <c r="K1155" s="103"/>
    </row>
    <row r="1156" spans="1:11" ht="63.75">
      <c r="A1156" s="76"/>
      <c r="B1156" s="25" t="s">
        <v>773</v>
      </c>
      <c r="C1156" s="18"/>
      <c r="D1156" s="18"/>
      <c r="E1156" s="19"/>
      <c r="F1156" s="31"/>
      <c r="G1156" s="186"/>
      <c r="H1156" s="9"/>
      <c r="I1156" s="103"/>
      <c r="J1156" s="103"/>
      <c r="K1156" s="103"/>
    </row>
    <row r="1157" spans="1:11" ht="63.75">
      <c r="A1157" s="76"/>
      <c r="B1157" s="25" t="s">
        <v>740</v>
      </c>
      <c r="C1157" s="24"/>
      <c r="D1157" s="144"/>
      <c r="E1157" s="19"/>
      <c r="F1157" s="20"/>
      <c r="G1157" s="186"/>
      <c r="H1157" s="9"/>
      <c r="I1157" s="103"/>
      <c r="J1157" s="103"/>
      <c r="K1157" s="103"/>
    </row>
    <row r="1158" spans="1:11" ht="76.5">
      <c r="A1158" s="76"/>
      <c r="B1158" s="25" t="s">
        <v>746</v>
      </c>
      <c r="C1158" s="24"/>
      <c r="D1158" s="144"/>
      <c r="E1158" s="19"/>
      <c r="F1158" s="20"/>
      <c r="G1158" s="186"/>
      <c r="H1158" s="9"/>
      <c r="I1158" s="103"/>
      <c r="J1158" s="103"/>
      <c r="K1158" s="103"/>
    </row>
    <row r="1159" spans="1:11" ht="38.25">
      <c r="A1159" s="76"/>
      <c r="B1159" s="8" t="s">
        <v>747</v>
      </c>
      <c r="C1159" s="24"/>
      <c r="D1159" s="144"/>
      <c r="E1159" s="19"/>
      <c r="F1159" s="20"/>
      <c r="G1159" s="186"/>
      <c r="H1159" s="9"/>
      <c r="I1159" s="103"/>
      <c r="J1159" s="103"/>
      <c r="K1159" s="103"/>
    </row>
    <row r="1160" spans="1:11" ht="51">
      <c r="A1160" s="76"/>
      <c r="B1160" s="25" t="s">
        <v>742</v>
      </c>
      <c r="C1160" s="24"/>
      <c r="D1160" s="144"/>
      <c r="E1160" s="19"/>
      <c r="F1160" s="20"/>
      <c r="G1160" s="186"/>
      <c r="H1160" s="9"/>
      <c r="I1160" s="103"/>
      <c r="J1160" s="103"/>
      <c r="K1160" s="103"/>
    </row>
    <row r="1161" spans="1:11" ht="51">
      <c r="A1161" s="76"/>
      <c r="B1161" s="25" t="s">
        <v>743</v>
      </c>
      <c r="C1161" s="24"/>
      <c r="D1161" s="144"/>
      <c r="E1161" s="19"/>
      <c r="F1161" s="20"/>
      <c r="G1161" s="186"/>
      <c r="I1161" s="103"/>
      <c r="J1161" s="103"/>
      <c r="K1161" s="103"/>
    </row>
    <row r="1162" spans="1:11" ht="25.5">
      <c r="A1162" s="204"/>
      <c r="B1162" s="275" t="s">
        <v>243</v>
      </c>
      <c r="C1162" s="202"/>
      <c r="D1162" s="276"/>
      <c r="E1162" s="210"/>
      <c r="F1162" s="199"/>
      <c r="G1162" s="186"/>
      <c r="H1162" s="9"/>
      <c r="I1162" s="103"/>
      <c r="J1162" s="103"/>
      <c r="K1162" s="103"/>
    </row>
    <row r="1163" spans="1:11">
      <c r="A1163" s="76"/>
      <c r="B1163" s="25"/>
      <c r="C1163" s="24"/>
      <c r="D1163" s="144"/>
      <c r="E1163" s="19"/>
      <c r="F1163" s="20"/>
      <c r="G1163" s="186"/>
      <c r="H1163" s="9"/>
      <c r="I1163" s="103"/>
      <c r="J1163" s="103"/>
      <c r="K1163" s="103"/>
    </row>
    <row r="1164" spans="1:11" ht="25.5">
      <c r="A1164" s="42"/>
      <c r="B1164" s="25" t="s">
        <v>120</v>
      </c>
      <c r="C1164" s="18"/>
      <c r="D1164" s="18"/>
      <c r="E1164" s="19"/>
      <c r="F1164" s="31"/>
      <c r="G1164" s="186"/>
      <c r="H1164" s="9"/>
      <c r="I1164" s="103"/>
      <c r="J1164" s="103"/>
      <c r="K1164" s="103"/>
    </row>
    <row r="1165" spans="1:11">
      <c r="A1165" s="42"/>
      <c r="B1165" s="25"/>
      <c r="C1165" s="18"/>
      <c r="D1165" s="18"/>
      <c r="E1165" s="19"/>
      <c r="F1165" s="31"/>
      <c r="G1165" s="186"/>
      <c r="H1165" s="9"/>
      <c r="I1165" s="103"/>
      <c r="J1165" s="103"/>
      <c r="K1165" s="103"/>
    </row>
    <row r="1166" spans="1:11">
      <c r="A1166" s="37"/>
      <c r="B1166" s="10" t="s">
        <v>112</v>
      </c>
      <c r="C1166" s="13"/>
      <c r="D1166" s="10"/>
      <c r="E1166" s="19"/>
      <c r="F1166" s="31"/>
      <c r="G1166" s="186"/>
      <c r="H1166" s="9"/>
      <c r="I1166" s="103"/>
      <c r="J1166" s="103"/>
      <c r="K1166" s="103"/>
    </row>
    <row r="1167" spans="1:11">
      <c r="A1167" s="42"/>
      <c r="B1167" s="12" t="s">
        <v>542</v>
      </c>
      <c r="C1167" s="13" t="s">
        <v>32</v>
      </c>
      <c r="D1167" s="179">
        <v>35</v>
      </c>
      <c r="E1167" s="10"/>
      <c r="F1167" s="31">
        <f>D1167*E1167</f>
        <v>0</v>
      </c>
      <c r="G1167" s="193"/>
      <c r="H1167" s="9"/>
      <c r="I1167" s="103"/>
      <c r="J1167" s="103"/>
      <c r="K1167" s="103"/>
    </row>
    <row r="1168" spans="1:11">
      <c r="A1168" s="42"/>
      <c r="B1168" s="12"/>
      <c r="C1168" s="13"/>
      <c r="D1168" s="179"/>
      <c r="E1168" s="10"/>
      <c r="F1168" s="31"/>
      <c r="G1168" s="193"/>
      <c r="H1168" s="9"/>
      <c r="I1168" s="103"/>
      <c r="J1168" s="103"/>
      <c r="K1168" s="103"/>
    </row>
    <row r="1169" spans="1:14">
      <c r="A1169" s="42"/>
      <c r="B1169" s="10" t="s">
        <v>888</v>
      </c>
      <c r="C1169" s="13"/>
      <c r="D1169" s="10"/>
      <c r="E1169" s="19"/>
      <c r="F1169" s="31"/>
      <c r="G1169" s="193"/>
      <c r="H1169" s="9"/>
      <c r="I1169" s="103"/>
      <c r="J1169" s="103"/>
      <c r="K1169" s="103"/>
    </row>
    <row r="1170" spans="1:14">
      <c r="A1170" s="42"/>
      <c r="B1170" s="12" t="s">
        <v>887</v>
      </c>
      <c r="C1170" s="13" t="s">
        <v>32</v>
      </c>
      <c r="D1170" s="179">
        <v>10</v>
      </c>
      <c r="E1170" s="10"/>
      <c r="F1170" s="31">
        <f>D1170*E1170</f>
        <v>0</v>
      </c>
      <c r="G1170" s="193"/>
      <c r="H1170" s="9"/>
      <c r="I1170" s="103"/>
      <c r="J1170" s="103"/>
      <c r="K1170" s="103"/>
    </row>
    <row r="1171" spans="1:14">
      <c r="A1171" s="42"/>
      <c r="B1171" s="92"/>
      <c r="C1171" s="18"/>
      <c r="D1171" s="18"/>
      <c r="E1171" s="19"/>
      <c r="F1171" s="31"/>
      <c r="G1171" s="186"/>
      <c r="H1171" s="8"/>
      <c r="I1171" s="103"/>
      <c r="J1171" s="103"/>
      <c r="K1171" s="103"/>
    </row>
    <row r="1172" spans="1:14" ht="15">
      <c r="A1172" s="32"/>
      <c r="B1172" s="180" t="s">
        <v>531</v>
      </c>
      <c r="C1172" s="165"/>
      <c r="D1172" s="165"/>
      <c r="E1172" s="166"/>
      <c r="F1172" s="235"/>
      <c r="G1172" s="408"/>
      <c r="H1172" s="342"/>
      <c r="I1172" s="409"/>
      <c r="J1172" s="409"/>
      <c r="K1172" s="409"/>
      <c r="L1172" s="167"/>
      <c r="M1172" s="167"/>
      <c r="N1172" s="167"/>
    </row>
    <row r="1173" spans="1:14" ht="38.25">
      <c r="A1173" s="173" t="s">
        <v>273</v>
      </c>
      <c r="B1173" s="25" t="s">
        <v>532</v>
      </c>
      <c r="C1173" s="18"/>
      <c r="D1173" s="18"/>
      <c r="E1173" s="19"/>
      <c r="F1173" s="31"/>
      <c r="G1173" s="186"/>
      <c r="H1173" s="8"/>
      <c r="I1173" s="103"/>
      <c r="J1173" s="103"/>
      <c r="K1173" s="103"/>
    </row>
    <row r="1174" spans="1:14" ht="63.75">
      <c r="A1174" s="76"/>
      <c r="B1174" s="25" t="s">
        <v>773</v>
      </c>
      <c r="C1174" s="18"/>
      <c r="D1174" s="18"/>
      <c r="E1174" s="19"/>
      <c r="F1174" s="31"/>
      <c r="G1174" s="186"/>
      <c r="H1174" s="8"/>
      <c r="I1174" s="410"/>
      <c r="J1174" s="232"/>
      <c r="K1174" s="103"/>
    </row>
    <row r="1175" spans="1:14" ht="25.5">
      <c r="A1175" s="76"/>
      <c r="B1175" s="232" t="s">
        <v>748</v>
      </c>
      <c r="C1175" s="24"/>
      <c r="D1175" s="144"/>
      <c r="E1175" s="19"/>
      <c r="F1175" s="20"/>
      <c r="G1175" s="186"/>
      <c r="I1175" s="103"/>
      <c r="J1175" s="103"/>
      <c r="K1175" s="103"/>
    </row>
    <row r="1176" spans="1:14" ht="38.25">
      <c r="A1176" s="76"/>
      <c r="B1176" s="232" t="s">
        <v>749</v>
      </c>
      <c r="C1176" s="24"/>
      <c r="D1176" s="144"/>
      <c r="E1176" s="19"/>
      <c r="F1176" s="20"/>
      <c r="G1176" s="186"/>
      <c r="I1176" s="103"/>
      <c r="J1176" s="103"/>
      <c r="K1176" s="103"/>
    </row>
    <row r="1177" spans="1:14" ht="25.5">
      <c r="A1177" s="76"/>
      <c r="B1177" s="232" t="s">
        <v>750</v>
      </c>
      <c r="C1177" s="24"/>
      <c r="D1177" s="144"/>
      <c r="E1177" s="19"/>
      <c r="F1177" s="20"/>
      <c r="G1177" s="186"/>
      <c r="I1177" s="103"/>
      <c r="J1177" s="103"/>
      <c r="K1177" s="103"/>
    </row>
    <row r="1178" spans="1:14" ht="89.25">
      <c r="A1178" s="76"/>
      <c r="B1178" s="232" t="s">
        <v>751</v>
      </c>
      <c r="C1178" s="24"/>
      <c r="D1178" s="144"/>
      <c r="E1178" s="19"/>
      <c r="F1178" s="20"/>
      <c r="G1178" s="186"/>
      <c r="I1178" s="103"/>
      <c r="J1178" s="103"/>
      <c r="K1178" s="103"/>
    </row>
    <row r="1179" spans="1:14" ht="51">
      <c r="A1179" s="76"/>
      <c r="B1179" s="25" t="s">
        <v>742</v>
      </c>
      <c r="C1179" s="24"/>
      <c r="D1179" s="144"/>
      <c r="E1179" s="19"/>
      <c r="F1179" s="20"/>
      <c r="G1179" s="186"/>
      <c r="I1179" s="103"/>
      <c r="J1179" s="103"/>
      <c r="K1179" s="103"/>
    </row>
    <row r="1180" spans="1:14" ht="51">
      <c r="A1180" s="76"/>
      <c r="B1180" s="232" t="s">
        <v>743</v>
      </c>
      <c r="C1180" s="24"/>
      <c r="D1180" s="144"/>
      <c r="E1180" s="19"/>
      <c r="F1180" s="20"/>
      <c r="G1180" s="186"/>
      <c r="I1180" s="103"/>
      <c r="J1180" s="103"/>
      <c r="K1180" s="103"/>
    </row>
    <row r="1181" spans="1:14" ht="25.5">
      <c r="A1181" s="42"/>
      <c r="B1181" s="25" t="s">
        <v>120</v>
      </c>
      <c r="C1181" s="18"/>
      <c r="D1181" s="18"/>
      <c r="E1181" s="19"/>
      <c r="F1181" s="31"/>
      <c r="G1181" s="186"/>
      <c r="H1181" s="8"/>
      <c r="I1181" s="103"/>
      <c r="J1181" s="103"/>
      <c r="K1181" s="103"/>
    </row>
    <row r="1182" spans="1:14">
      <c r="A1182" s="42"/>
      <c r="B1182" s="92"/>
      <c r="C1182" s="18"/>
      <c r="D1182" s="18"/>
      <c r="E1182" s="19"/>
      <c r="F1182" s="31"/>
      <c r="G1182" s="186"/>
      <c r="H1182" s="8"/>
      <c r="I1182" s="103"/>
      <c r="J1182" s="103"/>
      <c r="K1182" s="103"/>
    </row>
    <row r="1183" spans="1:14">
      <c r="A1183" s="37"/>
      <c r="B1183" s="10" t="s">
        <v>544</v>
      </c>
      <c r="C1183" s="13"/>
      <c r="D1183" s="10"/>
      <c r="E1183" s="19"/>
      <c r="F1183" s="31"/>
      <c r="G1183" s="186"/>
      <c r="H1183" s="9"/>
      <c r="I1183" s="103"/>
      <c r="J1183" s="103"/>
      <c r="K1183" s="103"/>
    </row>
    <row r="1184" spans="1:14">
      <c r="A1184" s="277"/>
      <c r="B1184" s="343" t="s">
        <v>542</v>
      </c>
      <c r="C1184" s="221" t="s">
        <v>32</v>
      </c>
      <c r="D1184" s="344">
        <v>39</v>
      </c>
      <c r="E1184" s="215"/>
      <c r="F1184" s="211">
        <f>D1184*E1184</f>
        <v>0</v>
      </c>
      <c r="G1184" s="193"/>
      <c r="H1184" s="9"/>
      <c r="I1184" s="103"/>
      <c r="J1184" s="103"/>
      <c r="K1184" s="103"/>
    </row>
    <row r="1185" spans="1:14">
      <c r="A1185" s="42"/>
      <c r="B1185" s="92"/>
      <c r="C1185" s="18"/>
      <c r="D1185" s="18"/>
      <c r="E1185" s="19"/>
      <c r="F1185" s="31"/>
      <c r="G1185" s="186"/>
      <c r="H1185" s="8"/>
      <c r="I1185" s="103"/>
      <c r="J1185" s="103"/>
      <c r="K1185" s="103"/>
    </row>
    <row r="1186" spans="1:14" ht="15">
      <c r="A1186" s="32"/>
      <c r="B1186" s="180" t="s">
        <v>719</v>
      </c>
      <c r="C1186" s="165"/>
      <c r="D1186" s="165"/>
      <c r="E1186" s="166"/>
      <c r="F1186" s="235"/>
      <c r="G1186" s="408"/>
      <c r="H1186" s="342"/>
      <c r="I1186" s="409"/>
      <c r="J1186" s="409"/>
      <c r="K1186" s="409"/>
      <c r="L1186" s="167"/>
      <c r="M1186" s="167"/>
      <c r="N1186" s="167"/>
    </row>
    <row r="1187" spans="1:14" ht="51">
      <c r="A1187" s="173" t="s">
        <v>274</v>
      </c>
      <c r="B1187" s="25" t="s">
        <v>1291</v>
      </c>
      <c r="C1187" s="18"/>
      <c r="D1187" s="18"/>
      <c r="E1187" s="19"/>
      <c r="F1187" s="31"/>
      <c r="G1187" s="186"/>
      <c r="H1187" s="8"/>
      <c r="I1187" s="103"/>
      <c r="J1187" s="103"/>
      <c r="K1187" s="103"/>
    </row>
    <row r="1188" spans="1:14" ht="25.5">
      <c r="A1188" s="42"/>
      <c r="B1188" s="25" t="s">
        <v>533</v>
      </c>
      <c r="C1188" s="18"/>
      <c r="D1188" s="18"/>
      <c r="E1188" s="19"/>
      <c r="F1188" s="31"/>
      <c r="G1188" s="186"/>
      <c r="H1188" s="8"/>
      <c r="I1188" s="103"/>
      <c r="J1188" s="103"/>
      <c r="K1188" s="103"/>
    </row>
    <row r="1189" spans="1:14">
      <c r="A1189" s="42"/>
      <c r="B1189" s="25" t="s">
        <v>534</v>
      </c>
      <c r="C1189" s="18"/>
      <c r="D1189" s="18"/>
      <c r="E1189" s="19"/>
      <c r="F1189" s="31"/>
      <c r="G1189" s="186"/>
      <c r="H1189" s="8"/>
      <c r="I1189" s="103"/>
      <c r="J1189" s="103"/>
      <c r="K1189" s="103"/>
    </row>
    <row r="1190" spans="1:14" ht="25.5">
      <c r="A1190" s="42"/>
      <c r="B1190" s="25" t="s">
        <v>535</v>
      </c>
      <c r="C1190" s="18"/>
      <c r="D1190" s="18"/>
      <c r="E1190" s="19"/>
      <c r="F1190" s="31"/>
      <c r="G1190" s="186"/>
      <c r="H1190" s="8"/>
      <c r="I1190" s="103"/>
      <c r="J1190" s="103"/>
      <c r="K1190" s="103"/>
    </row>
    <row r="1191" spans="1:14">
      <c r="A1191" s="42"/>
      <c r="B1191" s="92"/>
      <c r="C1191" s="18"/>
      <c r="D1191" s="18"/>
      <c r="E1191" s="19"/>
      <c r="F1191" s="31"/>
      <c r="G1191" s="186"/>
      <c r="H1191" s="8"/>
      <c r="I1191" s="103"/>
      <c r="J1191" s="103"/>
      <c r="K1191" s="103"/>
    </row>
    <row r="1192" spans="1:14">
      <c r="A1192" s="37"/>
      <c r="B1192" s="10" t="s">
        <v>546</v>
      </c>
      <c r="C1192" s="13" t="s">
        <v>32</v>
      </c>
      <c r="D1192" s="179">
        <v>35</v>
      </c>
      <c r="E1192" s="10"/>
      <c r="F1192" s="31">
        <f>D1192*E1192</f>
        <v>0</v>
      </c>
      <c r="G1192" s="186"/>
      <c r="H1192" s="9"/>
      <c r="I1192" s="103"/>
      <c r="J1192" s="103"/>
      <c r="K1192" s="103"/>
    </row>
    <row r="1193" spans="1:14">
      <c r="A1193" s="37"/>
      <c r="B1193" s="10"/>
      <c r="C1193" s="13"/>
      <c r="D1193" s="179"/>
      <c r="E1193" s="10"/>
      <c r="F1193" s="31"/>
      <c r="G1193" s="186"/>
      <c r="H1193" s="9"/>
      <c r="I1193" s="103"/>
      <c r="J1193" s="103"/>
      <c r="K1193" s="103"/>
    </row>
    <row r="1194" spans="1:14">
      <c r="A1194" s="37"/>
      <c r="B1194" s="10" t="s">
        <v>891</v>
      </c>
      <c r="C1194" s="13" t="s">
        <v>32</v>
      </c>
      <c r="D1194" s="179">
        <v>10</v>
      </c>
      <c r="E1194" s="10"/>
      <c r="F1194" s="31">
        <f>D1194*E1194</f>
        <v>0</v>
      </c>
      <c r="G1194" s="186"/>
      <c r="H1194" s="9"/>
      <c r="I1194" s="103"/>
      <c r="J1194" s="103"/>
      <c r="K1194" s="103"/>
    </row>
    <row r="1195" spans="1:14">
      <c r="A1195" s="37"/>
      <c r="B1195" s="92"/>
      <c r="C1195" s="18"/>
      <c r="D1195" s="36"/>
      <c r="E1195" s="19"/>
      <c r="F1195" s="31"/>
      <c r="G1195" s="186"/>
      <c r="H1195" s="8"/>
      <c r="I1195" s="103"/>
      <c r="J1195" s="103"/>
      <c r="K1195" s="103"/>
    </row>
    <row r="1196" spans="1:14">
      <c r="A1196" s="37"/>
      <c r="B1196" s="10" t="s">
        <v>545</v>
      </c>
      <c r="C1196" s="13" t="s">
        <v>32</v>
      </c>
      <c r="D1196" s="179">
        <v>1</v>
      </c>
      <c r="E1196" s="10"/>
      <c r="F1196" s="31">
        <f>D1196*E1196</f>
        <v>0</v>
      </c>
      <c r="G1196" s="186"/>
      <c r="H1196" s="8"/>
      <c r="I1196" s="103"/>
      <c r="J1196" s="103"/>
      <c r="K1196" s="103"/>
    </row>
    <row r="1197" spans="1:14">
      <c r="A1197" s="37"/>
      <c r="B1197" s="92"/>
      <c r="C1197" s="18"/>
      <c r="D1197" s="36"/>
      <c r="E1197" s="19"/>
      <c r="F1197" s="31"/>
      <c r="G1197" s="186"/>
      <c r="H1197" s="8"/>
      <c r="I1197" s="103"/>
      <c r="J1197" s="103"/>
      <c r="K1197" s="103"/>
    </row>
    <row r="1198" spans="1:14">
      <c r="A1198" s="37"/>
      <c r="B1198" s="10" t="s">
        <v>752</v>
      </c>
      <c r="C1198" s="13" t="s">
        <v>32</v>
      </c>
      <c r="D1198" s="179">
        <v>34</v>
      </c>
      <c r="E1198" s="10"/>
      <c r="F1198" s="31">
        <f>D1198*E1198</f>
        <v>0</v>
      </c>
      <c r="G1198" s="186"/>
      <c r="H1198" s="8"/>
      <c r="I1198" s="103"/>
      <c r="J1198" s="103"/>
      <c r="K1198" s="103"/>
    </row>
    <row r="1199" spans="1:14">
      <c r="A1199" s="37"/>
      <c r="B1199" s="10"/>
      <c r="C1199" s="13"/>
      <c r="D1199" s="179"/>
      <c r="E1199" s="10"/>
      <c r="F1199" s="31"/>
      <c r="G1199" s="186"/>
      <c r="H1199" s="8"/>
      <c r="I1199" s="103"/>
      <c r="J1199" s="103"/>
      <c r="K1199" s="103"/>
    </row>
    <row r="1200" spans="1:14" ht="15">
      <c r="A1200" s="32"/>
      <c r="B1200" s="180" t="s">
        <v>1235</v>
      </c>
      <c r="C1200" s="13"/>
      <c r="D1200" s="179"/>
      <c r="E1200" s="10"/>
      <c r="F1200" s="31"/>
      <c r="G1200" s="186"/>
      <c r="H1200" s="8"/>
      <c r="I1200" s="103"/>
      <c r="J1200" s="103"/>
      <c r="K1200" s="103"/>
    </row>
    <row r="1201" spans="1:11" ht="63.75">
      <c r="A1201" s="173" t="s">
        <v>1276</v>
      </c>
      <c r="B1201" s="25" t="s">
        <v>1236</v>
      </c>
      <c r="C1201" s="13"/>
      <c r="D1201" s="179"/>
      <c r="E1201" s="10"/>
      <c r="F1201" s="31"/>
      <c r="G1201" s="186"/>
      <c r="H1201" s="8"/>
      <c r="I1201" s="103"/>
      <c r="J1201" s="103"/>
      <c r="K1201" s="103"/>
    </row>
    <row r="1202" spans="1:11" ht="51">
      <c r="A1202" s="37"/>
      <c r="B1202" s="16" t="s">
        <v>1237</v>
      </c>
      <c r="C1202" s="13"/>
      <c r="D1202" s="179"/>
      <c r="E1202" s="10"/>
      <c r="F1202" s="31"/>
      <c r="G1202" s="186"/>
      <c r="H1202" s="8"/>
      <c r="I1202" s="103"/>
      <c r="J1202" s="103"/>
      <c r="K1202" s="103"/>
    </row>
    <row r="1203" spans="1:11" ht="51">
      <c r="A1203" s="37"/>
      <c r="B1203" s="16" t="s">
        <v>1238</v>
      </c>
      <c r="C1203" s="13"/>
      <c r="D1203" s="179"/>
      <c r="E1203" s="10"/>
      <c r="F1203" s="31"/>
      <c r="G1203" s="186"/>
      <c r="H1203" s="8"/>
      <c r="I1203" s="103"/>
      <c r="J1203" s="103"/>
      <c r="K1203" s="103"/>
    </row>
    <row r="1204" spans="1:11">
      <c r="A1204" s="37"/>
      <c r="B1204" s="16" t="s">
        <v>534</v>
      </c>
      <c r="C1204" s="13"/>
      <c r="D1204" s="179"/>
      <c r="E1204" s="10"/>
      <c r="F1204" s="31"/>
      <c r="G1204" s="186"/>
      <c r="H1204" s="8"/>
      <c r="I1204" s="103"/>
      <c r="J1204" s="103"/>
      <c r="K1204" s="103"/>
    </row>
    <row r="1205" spans="1:11" ht="25.5">
      <c r="A1205" s="37"/>
      <c r="B1205" s="25" t="s">
        <v>1239</v>
      </c>
      <c r="C1205" s="13"/>
      <c r="D1205" s="179"/>
      <c r="E1205" s="10"/>
      <c r="F1205" s="31"/>
      <c r="G1205" s="186"/>
      <c r="H1205" s="8"/>
      <c r="I1205" s="103"/>
      <c r="J1205" s="103"/>
      <c r="K1205" s="103"/>
    </row>
    <row r="1206" spans="1:11">
      <c r="A1206" s="37"/>
      <c r="B1206" s="10"/>
      <c r="C1206" s="13"/>
      <c r="D1206" s="179"/>
      <c r="E1206" s="10"/>
      <c r="F1206" s="31"/>
      <c r="G1206" s="186"/>
      <c r="H1206" s="8"/>
      <c r="I1206" s="103"/>
      <c r="J1206" s="103"/>
      <c r="K1206" s="103"/>
    </row>
    <row r="1207" spans="1:11">
      <c r="A1207" s="37"/>
      <c r="B1207" s="22" t="s">
        <v>27</v>
      </c>
      <c r="C1207" s="22"/>
      <c r="D1207" s="22"/>
      <c r="E1207" s="22"/>
      <c r="F1207" s="63"/>
      <c r="G1207" s="186"/>
      <c r="H1207" s="8"/>
      <c r="I1207" s="103"/>
      <c r="J1207" s="103"/>
      <c r="K1207" s="103"/>
    </row>
    <row r="1208" spans="1:11">
      <c r="A1208" s="37"/>
      <c r="B1208" s="23" t="s">
        <v>1241</v>
      </c>
      <c r="C1208" s="22"/>
      <c r="D1208" s="80">
        <f>2.88+1.81+2.75+2.06+1.05</f>
        <v>10.55</v>
      </c>
      <c r="E1208" s="22"/>
      <c r="F1208" s="63"/>
      <c r="G1208" s="186"/>
      <c r="H1208" s="8"/>
      <c r="I1208" s="103"/>
      <c r="J1208" s="103"/>
      <c r="K1208" s="103"/>
    </row>
    <row r="1209" spans="1:11">
      <c r="A1209" s="37"/>
      <c r="B1209" s="22"/>
      <c r="C1209" s="22"/>
      <c r="D1209" s="22"/>
      <c r="E1209" s="22"/>
      <c r="F1209" s="63"/>
      <c r="G1209" s="186"/>
      <c r="H1209" s="8"/>
      <c r="I1209" s="103"/>
      <c r="J1209" s="103"/>
      <c r="K1209" s="103"/>
    </row>
    <row r="1210" spans="1:11">
      <c r="A1210" s="37"/>
      <c r="B1210" s="22" t="s">
        <v>360</v>
      </c>
      <c r="C1210" s="22"/>
      <c r="D1210" s="22"/>
      <c r="E1210" s="22"/>
      <c r="F1210" s="63"/>
      <c r="G1210" s="186"/>
      <c r="H1210" s="8"/>
      <c r="I1210" s="103"/>
      <c r="J1210" s="103"/>
      <c r="K1210" s="103"/>
    </row>
    <row r="1211" spans="1:11">
      <c r="A1211" s="37"/>
      <c r="B1211" s="23" t="s">
        <v>1242</v>
      </c>
      <c r="C1211" s="22"/>
      <c r="D1211" s="80">
        <f>2.88+1.81+2.75+2.06+1.05*2</f>
        <v>11.6</v>
      </c>
      <c r="E1211" s="22"/>
      <c r="F1211" s="63"/>
      <c r="G1211" s="186"/>
      <c r="H1211" s="8"/>
      <c r="I1211" s="103"/>
      <c r="J1211" s="103"/>
      <c r="K1211" s="103"/>
    </row>
    <row r="1212" spans="1:11">
      <c r="A1212" s="37"/>
      <c r="B1212" s="22"/>
      <c r="C1212" s="22"/>
      <c r="D1212" s="22"/>
      <c r="E1212" s="22"/>
      <c r="F1212" s="63"/>
      <c r="G1212" s="186"/>
      <c r="H1212" s="8"/>
      <c r="I1212" s="103"/>
      <c r="J1212" s="103"/>
      <c r="K1212" s="103"/>
    </row>
    <row r="1213" spans="1:11">
      <c r="A1213" s="37"/>
      <c r="B1213" s="22" t="s">
        <v>361</v>
      </c>
      <c r="C1213" s="22"/>
      <c r="D1213" s="22"/>
      <c r="E1213" s="22"/>
      <c r="F1213" s="63"/>
      <c r="G1213" s="186"/>
      <c r="H1213" s="8"/>
      <c r="I1213" s="103"/>
      <c r="J1213" s="103"/>
      <c r="K1213" s="103"/>
    </row>
    <row r="1214" spans="1:11">
      <c r="A1214" s="37"/>
      <c r="B1214" s="23" t="s">
        <v>1243</v>
      </c>
      <c r="C1214" s="22"/>
      <c r="D1214" s="80">
        <f>(2.88+1.81+2.75+2.06+1.05*2)*3</f>
        <v>34.799999999999997</v>
      </c>
      <c r="E1214" s="22"/>
      <c r="F1214" s="63"/>
      <c r="G1214" s="186"/>
      <c r="H1214" s="8"/>
      <c r="I1214" s="103"/>
      <c r="J1214" s="103"/>
      <c r="K1214" s="103"/>
    </row>
    <row r="1215" spans="1:11">
      <c r="A1215" s="37"/>
      <c r="B1215" s="307"/>
      <c r="C1215" s="22"/>
      <c r="D1215" s="80"/>
      <c r="E1215" s="22"/>
      <c r="F1215" s="63"/>
      <c r="G1215" s="186"/>
      <c r="H1215" s="8"/>
      <c r="I1215" s="103"/>
      <c r="J1215" s="103"/>
      <c r="K1215" s="103"/>
    </row>
    <row r="1216" spans="1:11">
      <c r="A1216" s="37"/>
      <c r="B1216" s="22" t="s">
        <v>1240</v>
      </c>
      <c r="C1216" s="24" t="s">
        <v>39</v>
      </c>
      <c r="D1216" s="22">
        <f>SUM(D1208:D1214)</f>
        <v>56.949999999999996</v>
      </c>
      <c r="E1216" s="10"/>
      <c r="F1216" s="30">
        <f>D1216*E1216</f>
        <v>0</v>
      </c>
      <c r="G1216" s="186"/>
      <c r="H1216" s="8"/>
      <c r="I1216" s="103"/>
      <c r="J1216" s="103"/>
      <c r="K1216" s="103"/>
    </row>
    <row r="1217" spans="1:11" ht="13.5" thickBot="1">
      <c r="A1217" s="181"/>
      <c r="B1217" s="118"/>
      <c r="C1217" s="119"/>
      <c r="D1217" s="182"/>
      <c r="E1217" s="118"/>
      <c r="F1217" s="236"/>
      <c r="G1217" s="186"/>
      <c r="H1217" s="9"/>
      <c r="I1217" s="103"/>
      <c r="J1217" s="103"/>
      <c r="K1217" s="103"/>
    </row>
    <row r="1218" spans="1:11" ht="17.100000000000001" customHeight="1" thickBot="1">
      <c r="A1218" s="57" t="str">
        <f>A1104</f>
        <v>8.</v>
      </c>
      <c r="B1218" s="58" t="s">
        <v>47</v>
      </c>
      <c r="C1218" s="59"/>
      <c r="D1218" s="60"/>
      <c r="E1218" s="168"/>
      <c r="F1218" s="52">
        <f>SUM(F1110:F1217)</f>
        <v>0</v>
      </c>
      <c r="G1218" s="396"/>
      <c r="H1218" s="313"/>
      <c r="I1218" s="103"/>
      <c r="J1218" s="103"/>
      <c r="K1218" s="103"/>
    </row>
    <row r="1219" spans="1:11" ht="17.100000000000001" customHeight="1" thickBot="1">
      <c r="A1219" s="57" t="s">
        <v>83</v>
      </c>
      <c r="B1219" s="58" t="s">
        <v>121</v>
      </c>
      <c r="C1219" s="59"/>
      <c r="D1219" s="60"/>
      <c r="E1219" s="163"/>
      <c r="F1219" s="151"/>
      <c r="G1219" s="186"/>
      <c r="H1219" s="313"/>
      <c r="I1219" s="103"/>
      <c r="J1219" s="103"/>
      <c r="K1219" s="103"/>
    </row>
    <row r="1220" spans="1:11">
      <c r="A1220" s="42"/>
      <c r="B1220" s="92"/>
      <c r="C1220" s="18"/>
      <c r="D1220" s="18"/>
      <c r="E1220" s="19"/>
      <c r="F1220" s="31"/>
      <c r="G1220" s="186"/>
      <c r="H1220" s="8"/>
      <c r="I1220" s="103"/>
      <c r="J1220" s="103"/>
      <c r="K1220" s="103"/>
    </row>
    <row r="1221" spans="1:11">
      <c r="A1221" s="42"/>
      <c r="B1221" s="10" t="s">
        <v>61</v>
      </c>
      <c r="C1221" s="18"/>
      <c r="D1221" s="18"/>
      <c r="E1221" s="19"/>
      <c r="F1221" s="31"/>
      <c r="G1221" s="186"/>
      <c r="H1221" s="8"/>
      <c r="I1221" s="103"/>
      <c r="J1221" s="103"/>
      <c r="K1221" s="103"/>
    </row>
    <row r="1222" spans="1:11" ht="89.25">
      <c r="A1222" s="42"/>
      <c r="B1222" s="147" t="s">
        <v>767</v>
      </c>
      <c r="C1222" s="18"/>
      <c r="D1222" s="18"/>
      <c r="E1222" s="19"/>
      <c r="F1222" s="31"/>
      <c r="G1222" s="186"/>
      <c r="H1222" s="8"/>
      <c r="I1222" s="103"/>
      <c r="J1222" s="103"/>
      <c r="K1222" s="103"/>
    </row>
    <row r="1223" spans="1:11" ht="38.25">
      <c r="A1223" s="42"/>
      <c r="B1223" s="147" t="s">
        <v>123</v>
      </c>
      <c r="C1223" s="18"/>
      <c r="D1223" s="18"/>
      <c r="E1223" s="19"/>
      <c r="F1223" s="31"/>
      <c r="G1223" s="186"/>
      <c r="H1223" s="8"/>
      <c r="I1223" s="103"/>
      <c r="J1223" s="103"/>
      <c r="K1223" s="103"/>
    </row>
    <row r="1224" spans="1:11" ht="51">
      <c r="A1224" s="42"/>
      <c r="B1224" s="147" t="s">
        <v>124</v>
      </c>
      <c r="C1224" s="18"/>
      <c r="D1224" s="18"/>
      <c r="E1224" s="19"/>
      <c r="F1224" s="31"/>
      <c r="G1224" s="186"/>
      <c r="H1224" s="345"/>
      <c r="I1224" s="103"/>
      <c r="J1224" s="103"/>
      <c r="K1224" s="103"/>
    </row>
    <row r="1225" spans="1:11" ht="76.5">
      <c r="A1225" s="42"/>
      <c r="B1225" s="147" t="s">
        <v>256</v>
      </c>
      <c r="C1225" s="18"/>
      <c r="D1225" s="18"/>
      <c r="E1225" s="19"/>
      <c r="F1225" s="31"/>
      <c r="G1225" s="186"/>
      <c r="H1225" s="8"/>
      <c r="I1225" s="103"/>
      <c r="J1225" s="103"/>
      <c r="K1225" s="103"/>
    </row>
    <row r="1226" spans="1:11" ht="38.25">
      <c r="A1226" s="42"/>
      <c r="B1226" s="147" t="s">
        <v>776</v>
      </c>
      <c r="C1226" s="18"/>
      <c r="D1226" s="18"/>
      <c r="E1226" s="19"/>
      <c r="F1226" s="31"/>
      <c r="G1226" s="186"/>
      <c r="H1226" s="8"/>
      <c r="I1226" s="103"/>
      <c r="J1226" s="103"/>
      <c r="K1226" s="103"/>
    </row>
    <row r="1227" spans="1:11" ht="140.25">
      <c r="A1227" s="42"/>
      <c r="B1227" s="147" t="s">
        <v>777</v>
      </c>
      <c r="C1227" s="18"/>
      <c r="D1227" s="18"/>
      <c r="E1227" s="19"/>
      <c r="F1227" s="31"/>
      <c r="G1227" s="186"/>
      <c r="H1227" s="8"/>
      <c r="I1227" s="103"/>
      <c r="J1227" s="103"/>
      <c r="K1227" s="103"/>
    </row>
    <row r="1228" spans="1:11" ht="76.5">
      <c r="A1228" s="42"/>
      <c r="B1228" s="149" t="s">
        <v>269</v>
      </c>
      <c r="C1228" s="18"/>
      <c r="D1228" s="18"/>
      <c r="E1228" s="19"/>
      <c r="F1228" s="31"/>
      <c r="G1228" s="186"/>
      <c r="H1228" s="8"/>
      <c r="I1228" s="103"/>
      <c r="J1228" s="103"/>
      <c r="K1228" s="103"/>
    </row>
    <row r="1229" spans="1:11" ht="25.5">
      <c r="A1229" s="42"/>
      <c r="B1229" s="147" t="s">
        <v>270</v>
      </c>
      <c r="C1229" s="18"/>
      <c r="D1229" s="18"/>
      <c r="E1229" s="19"/>
      <c r="F1229" s="31"/>
      <c r="G1229" s="186"/>
      <c r="H1229" s="8"/>
      <c r="I1229" s="103"/>
      <c r="J1229" s="103"/>
      <c r="K1229" s="103"/>
    </row>
    <row r="1230" spans="1:11" ht="51">
      <c r="A1230" s="42"/>
      <c r="B1230" s="225" t="s">
        <v>791</v>
      </c>
      <c r="C1230" s="18"/>
      <c r="D1230" s="18"/>
      <c r="E1230" s="19"/>
      <c r="F1230" s="31"/>
      <c r="G1230" s="186"/>
      <c r="H1230" s="8"/>
      <c r="I1230" s="103"/>
      <c r="J1230" s="103"/>
      <c r="K1230" s="103"/>
    </row>
    <row r="1231" spans="1:11" s="103" customFormat="1" ht="25.5">
      <c r="A1231" s="277"/>
      <c r="B1231" s="275" t="s">
        <v>792</v>
      </c>
      <c r="C1231" s="279"/>
      <c r="D1231" s="279"/>
      <c r="E1231" s="210"/>
      <c r="F1231" s="211"/>
      <c r="G1231" s="186"/>
      <c r="H1231" s="8"/>
    </row>
    <row r="1232" spans="1:11" s="103" customFormat="1">
      <c r="A1232" s="42"/>
      <c r="B1232" s="25"/>
      <c r="C1232" s="18"/>
      <c r="D1232" s="18"/>
      <c r="E1232" s="19"/>
      <c r="F1232" s="31"/>
      <c r="G1232" s="186"/>
      <c r="H1232" s="8"/>
    </row>
    <row r="1233" spans="1:14" ht="89.25">
      <c r="A1233" s="76" t="s">
        <v>182</v>
      </c>
      <c r="B1233" s="25" t="s">
        <v>1283</v>
      </c>
      <c r="C1233" s="18"/>
      <c r="D1233" s="18"/>
      <c r="E1233" s="19"/>
      <c r="F1233" s="31"/>
      <c r="G1233" s="186"/>
      <c r="H1233" s="8"/>
      <c r="I1233" s="103"/>
      <c r="J1233" s="103"/>
      <c r="K1233" s="103"/>
    </row>
    <row r="1234" spans="1:14" ht="38.25">
      <c r="A1234" s="76"/>
      <c r="B1234" s="25" t="s">
        <v>547</v>
      </c>
      <c r="C1234" s="18"/>
      <c r="D1234" s="18"/>
      <c r="E1234" s="19"/>
      <c r="F1234" s="31"/>
      <c r="G1234" s="186"/>
      <c r="H1234" s="8"/>
      <c r="I1234" s="103"/>
      <c r="J1234" s="103"/>
      <c r="K1234" s="103"/>
      <c r="L1234" s="103"/>
    </row>
    <row r="1235" spans="1:14" ht="114.75">
      <c r="A1235" s="76"/>
      <c r="B1235" s="25" t="s">
        <v>550</v>
      </c>
      <c r="C1235" s="18"/>
      <c r="D1235" s="18"/>
      <c r="E1235" s="19"/>
      <c r="F1235" s="31"/>
      <c r="G1235" s="186"/>
      <c r="H1235" s="8"/>
      <c r="I1235" s="103"/>
      <c r="J1235" s="103"/>
      <c r="K1235" s="103"/>
      <c r="L1235" s="103"/>
    </row>
    <row r="1236" spans="1:14" ht="76.5">
      <c r="A1236" s="76"/>
      <c r="B1236" s="25" t="s">
        <v>1209</v>
      </c>
      <c r="C1236" s="18"/>
      <c r="D1236" s="18"/>
      <c r="E1236" s="19"/>
      <c r="F1236" s="31"/>
      <c r="G1236" s="186"/>
      <c r="H1236" s="8"/>
      <c r="I1236" s="103"/>
      <c r="J1236" s="103"/>
      <c r="K1236" s="103"/>
      <c r="L1236" s="103"/>
    </row>
    <row r="1237" spans="1:14" ht="51">
      <c r="A1237" s="76"/>
      <c r="B1237" s="25" t="s">
        <v>549</v>
      </c>
      <c r="C1237" s="18"/>
      <c r="D1237" s="18"/>
      <c r="E1237" s="19"/>
      <c r="F1237" s="31"/>
      <c r="G1237" s="186"/>
      <c r="H1237" s="8"/>
      <c r="I1237" s="103"/>
      <c r="J1237" s="103"/>
      <c r="K1237" s="103"/>
      <c r="L1237" s="103"/>
    </row>
    <row r="1238" spans="1:14" ht="140.25">
      <c r="A1238" s="76"/>
      <c r="B1238" s="25" t="s">
        <v>289</v>
      </c>
      <c r="C1238" s="18"/>
      <c r="D1238" s="18"/>
      <c r="E1238" s="19"/>
      <c r="F1238" s="31"/>
      <c r="G1238" s="186"/>
      <c r="H1238" s="8"/>
      <c r="I1238" s="103"/>
      <c r="J1238" s="103"/>
      <c r="K1238" s="103"/>
      <c r="L1238" s="103"/>
    </row>
    <row r="1239" spans="1:14" ht="25.5">
      <c r="A1239" s="42"/>
      <c r="B1239" s="25" t="s">
        <v>125</v>
      </c>
      <c r="C1239" s="18"/>
      <c r="D1239" s="18"/>
      <c r="E1239" s="19"/>
      <c r="F1239" s="31"/>
      <c r="G1239" s="186"/>
      <c r="H1239" s="8"/>
      <c r="I1239" s="110"/>
      <c r="J1239" s="9"/>
      <c r="K1239" s="9"/>
      <c r="L1239" s="103"/>
    </row>
    <row r="1240" spans="1:14" s="103" customFormat="1">
      <c r="A1240" s="42"/>
      <c r="B1240" s="92"/>
      <c r="C1240" s="18"/>
      <c r="D1240" s="18"/>
      <c r="E1240" s="19"/>
      <c r="F1240" s="31"/>
      <c r="G1240" s="186"/>
      <c r="H1240" s="8"/>
      <c r="I1240" s="110"/>
      <c r="J1240" s="9"/>
      <c r="K1240" s="9"/>
    </row>
    <row r="1241" spans="1:14">
      <c r="A1241" s="42"/>
      <c r="B1241" s="10" t="s">
        <v>894</v>
      </c>
      <c r="C1241" s="18"/>
      <c r="D1241" s="18"/>
      <c r="E1241" s="19"/>
      <c r="F1241" s="31"/>
      <c r="G1241" s="186"/>
      <c r="H1241" s="8"/>
      <c r="I1241" s="110"/>
      <c r="J1241" s="9"/>
      <c r="K1241" s="9"/>
      <c r="L1241" s="103"/>
    </row>
    <row r="1242" spans="1:14" ht="25.5">
      <c r="A1242" s="42"/>
      <c r="B1242" s="16" t="s">
        <v>548</v>
      </c>
      <c r="C1242" s="18"/>
      <c r="D1242" s="18"/>
      <c r="E1242" s="19"/>
      <c r="F1242" s="31"/>
      <c r="G1242" s="186"/>
      <c r="H1242" s="8"/>
      <c r="I1242" s="110"/>
      <c r="J1242" s="346"/>
      <c r="K1242" s="9"/>
      <c r="L1242" s="103"/>
    </row>
    <row r="1243" spans="1:14">
      <c r="A1243" s="277"/>
      <c r="B1243" s="215" t="s">
        <v>892</v>
      </c>
      <c r="C1243" s="221" t="s">
        <v>32</v>
      </c>
      <c r="D1243" s="280">
        <v>5</v>
      </c>
      <c r="E1243" s="215"/>
      <c r="F1243" s="211">
        <f>D1243*E1243</f>
        <v>0</v>
      </c>
      <c r="G1243" s="193"/>
      <c r="H1243" s="9"/>
      <c r="I1243" s="103"/>
      <c r="J1243" s="103"/>
      <c r="K1243" s="103"/>
      <c r="L1243" s="103"/>
    </row>
    <row r="1244" spans="1:14">
      <c r="A1244" s="42"/>
      <c r="B1244" s="10"/>
      <c r="C1244" s="18"/>
      <c r="D1244" s="18"/>
      <c r="E1244" s="19"/>
      <c r="F1244" s="31"/>
      <c r="G1244" s="186"/>
      <c r="H1244" s="8"/>
      <c r="I1244" s="103"/>
      <c r="J1244" s="103"/>
      <c r="K1244" s="103"/>
      <c r="L1244" s="103"/>
      <c r="M1244" s="103"/>
      <c r="N1244" s="103"/>
    </row>
    <row r="1245" spans="1:14">
      <c r="A1245" s="42"/>
      <c r="B1245" s="10" t="s">
        <v>893</v>
      </c>
      <c r="C1245" s="18"/>
      <c r="D1245" s="18"/>
      <c r="E1245" s="19"/>
      <c r="F1245" s="31"/>
      <c r="G1245" s="186"/>
      <c r="H1245" s="8"/>
      <c r="I1245" s="103"/>
      <c r="J1245" s="103"/>
      <c r="K1245" s="103"/>
      <c r="L1245" s="103"/>
    </row>
    <row r="1246" spans="1:14" ht="25.5">
      <c r="A1246" s="42"/>
      <c r="B1246" s="16" t="s">
        <v>548</v>
      </c>
      <c r="C1246" s="18"/>
      <c r="D1246" s="18"/>
      <c r="E1246" s="19"/>
      <c r="F1246" s="31"/>
      <c r="G1246" s="186"/>
      <c r="H1246" s="9"/>
      <c r="I1246" s="103"/>
      <c r="J1246" s="103"/>
      <c r="K1246" s="103"/>
    </row>
    <row r="1247" spans="1:14">
      <c r="A1247" s="42"/>
      <c r="B1247" s="10" t="s">
        <v>892</v>
      </c>
      <c r="C1247" s="13" t="s">
        <v>32</v>
      </c>
      <c r="D1247" s="36">
        <v>14</v>
      </c>
      <c r="E1247" s="10"/>
      <c r="F1247" s="31">
        <f>D1247*E1247</f>
        <v>0</v>
      </c>
      <c r="G1247" s="193"/>
      <c r="H1247" s="8"/>
      <c r="I1247" s="103"/>
      <c r="J1247" s="103"/>
      <c r="K1247" s="103"/>
    </row>
    <row r="1248" spans="1:14">
      <c r="A1248" s="42"/>
      <c r="B1248" s="10"/>
      <c r="C1248" s="13"/>
      <c r="D1248" s="36"/>
      <c r="E1248" s="10"/>
      <c r="F1248" s="31"/>
      <c r="G1248" s="186"/>
      <c r="H1248" s="8"/>
      <c r="I1248" s="103"/>
      <c r="J1248" s="103"/>
      <c r="K1248" s="103"/>
    </row>
    <row r="1249" spans="1:11">
      <c r="A1249" s="42"/>
      <c r="B1249" s="10" t="s">
        <v>895</v>
      </c>
      <c r="C1249" s="18"/>
      <c r="D1249" s="18"/>
      <c r="E1249" s="19"/>
      <c r="F1249" s="31"/>
      <c r="G1249" s="186"/>
      <c r="H1249" s="8"/>
      <c r="I1249" s="103"/>
      <c r="J1249" s="103"/>
      <c r="K1249" s="103"/>
    </row>
    <row r="1250" spans="1:11" ht="25.5">
      <c r="A1250" s="42"/>
      <c r="B1250" s="16" t="s">
        <v>548</v>
      </c>
      <c r="C1250" s="18"/>
      <c r="D1250" s="18"/>
      <c r="E1250" s="19"/>
      <c r="F1250" s="31"/>
      <c r="G1250" s="186"/>
      <c r="H1250" s="8"/>
      <c r="I1250" s="103"/>
      <c r="J1250" s="103"/>
      <c r="K1250" s="103"/>
    </row>
    <row r="1251" spans="1:11">
      <c r="A1251" s="42"/>
      <c r="B1251" s="10" t="s">
        <v>896</v>
      </c>
      <c r="C1251" s="13" t="s">
        <v>32</v>
      </c>
      <c r="D1251" s="36">
        <v>5</v>
      </c>
      <c r="E1251" s="10"/>
      <c r="F1251" s="31">
        <f>D1251*E1251</f>
        <v>0</v>
      </c>
      <c r="G1251" s="186"/>
      <c r="H1251" s="8"/>
      <c r="I1251" s="103"/>
      <c r="J1251" s="103"/>
      <c r="K1251" s="103"/>
    </row>
    <row r="1252" spans="1:11">
      <c r="A1252" s="42"/>
      <c r="B1252" s="10"/>
      <c r="C1252" s="13"/>
      <c r="D1252" s="36"/>
      <c r="E1252" s="10"/>
      <c r="F1252" s="31"/>
      <c r="G1252" s="186"/>
      <c r="H1252" s="8"/>
      <c r="I1252" s="103"/>
      <c r="J1252" s="103"/>
      <c r="K1252" s="103"/>
    </row>
    <row r="1253" spans="1:11" ht="89.25">
      <c r="A1253" s="76" t="s">
        <v>129</v>
      </c>
      <c r="B1253" s="25" t="s">
        <v>796</v>
      </c>
      <c r="C1253" s="13"/>
      <c r="D1253" s="36"/>
      <c r="E1253" s="10"/>
      <c r="F1253" s="31"/>
      <c r="G1253" s="186"/>
      <c r="H1253" s="8"/>
      <c r="I1253" s="103"/>
      <c r="J1253" s="103"/>
      <c r="K1253" s="103"/>
    </row>
    <row r="1254" spans="1:11" ht="38.25">
      <c r="A1254" s="42"/>
      <c r="B1254" s="16" t="s">
        <v>547</v>
      </c>
      <c r="C1254" s="13"/>
      <c r="D1254" s="36"/>
      <c r="E1254" s="10"/>
      <c r="F1254" s="31"/>
      <c r="G1254" s="186"/>
      <c r="H1254" s="8"/>
      <c r="I1254" s="103"/>
      <c r="J1254" s="103"/>
      <c r="K1254" s="103"/>
    </row>
    <row r="1255" spans="1:11" ht="114.75">
      <c r="A1255" s="42"/>
      <c r="B1255" s="16" t="s">
        <v>1159</v>
      </c>
      <c r="C1255" s="13"/>
      <c r="D1255" s="36"/>
      <c r="E1255" s="10"/>
      <c r="F1255" s="31"/>
      <c r="G1255" s="186"/>
      <c r="H1255" s="8"/>
      <c r="I1255" s="103"/>
      <c r="J1255" s="103"/>
      <c r="K1255" s="103"/>
    </row>
    <row r="1256" spans="1:11" ht="38.25">
      <c r="A1256" s="42"/>
      <c r="B1256" s="16" t="s">
        <v>553</v>
      </c>
      <c r="C1256" s="13"/>
      <c r="D1256" s="36"/>
      <c r="E1256" s="10"/>
      <c r="F1256" s="31"/>
      <c r="G1256" s="186"/>
      <c r="H1256" s="8"/>
      <c r="I1256" s="103"/>
      <c r="J1256" s="103"/>
      <c r="K1256" s="103"/>
    </row>
    <row r="1257" spans="1:11" ht="51">
      <c r="A1257" s="42"/>
      <c r="B1257" s="16" t="s">
        <v>549</v>
      </c>
      <c r="C1257" s="13"/>
      <c r="D1257" s="36"/>
      <c r="E1257" s="10"/>
      <c r="F1257" s="31"/>
      <c r="G1257" s="186"/>
      <c r="H1257" s="8"/>
      <c r="I1257" s="103"/>
      <c r="J1257" s="103"/>
      <c r="K1257" s="103"/>
    </row>
    <row r="1258" spans="1:11" ht="140.25">
      <c r="A1258" s="42"/>
      <c r="B1258" s="25" t="s">
        <v>289</v>
      </c>
      <c r="C1258" s="13"/>
      <c r="D1258" s="36"/>
      <c r="E1258" s="10"/>
      <c r="F1258" s="31"/>
      <c r="G1258" s="186"/>
      <c r="H1258" s="8"/>
      <c r="I1258" s="103"/>
      <c r="J1258" s="103"/>
      <c r="K1258" s="103"/>
    </row>
    <row r="1259" spans="1:11" ht="25.5">
      <c r="A1259" s="277"/>
      <c r="B1259" s="275" t="s">
        <v>125</v>
      </c>
      <c r="C1259" s="221"/>
      <c r="D1259" s="280"/>
      <c r="E1259" s="215"/>
      <c r="F1259" s="211"/>
      <c r="G1259" s="186"/>
      <c r="H1259" s="8"/>
      <c r="I1259" s="103"/>
      <c r="J1259" s="103"/>
      <c r="K1259" s="103"/>
    </row>
    <row r="1260" spans="1:11">
      <c r="A1260" s="42"/>
      <c r="B1260" s="10"/>
      <c r="C1260" s="13"/>
      <c r="D1260" s="36"/>
      <c r="E1260" s="10"/>
      <c r="F1260" s="31"/>
      <c r="G1260" s="186"/>
      <c r="H1260" s="8"/>
      <c r="I1260" s="103"/>
      <c r="J1260" s="103"/>
      <c r="K1260" s="103"/>
    </row>
    <row r="1261" spans="1:11">
      <c r="A1261" s="42"/>
      <c r="B1261" s="10" t="s">
        <v>126</v>
      </c>
      <c r="C1261" s="18"/>
      <c r="D1261" s="18"/>
      <c r="E1261" s="19"/>
      <c r="F1261" s="31"/>
      <c r="G1261" s="186"/>
      <c r="H1261" s="8"/>
      <c r="I1261" s="103"/>
      <c r="J1261" s="103"/>
      <c r="K1261" s="103"/>
    </row>
    <row r="1262" spans="1:11" ht="25.5">
      <c r="A1262" s="42"/>
      <c r="B1262" s="16" t="s">
        <v>551</v>
      </c>
      <c r="C1262" s="18"/>
      <c r="D1262" s="18"/>
      <c r="E1262" s="19"/>
      <c r="F1262" s="31"/>
      <c r="G1262" s="186"/>
      <c r="H1262" s="8"/>
      <c r="I1262" s="103"/>
      <c r="J1262" s="103"/>
      <c r="K1262" s="103"/>
    </row>
    <row r="1263" spans="1:11">
      <c r="A1263" s="42"/>
      <c r="B1263" s="10" t="s">
        <v>552</v>
      </c>
      <c r="C1263" s="13" t="s">
        <v>32</v>
      </c>
      <c r="D1263" s="36">
        <f>18-3</f>
        <v>15</v>
      </c>
      <c r="E1263" s="10"/>
      <c r="F1263" s="31">
        <f>D1263*E1263</f>
        <v>0</v>
      </c>
      <c r="G1263" s="193"/>
      <c r="H1263" s="9"/>
      <c r="I1263" s="103"/>
      <c r="J1263" s="103"/>
      <c r="K1263" s="103"/>
    </row>
    <row r="1264" spans="1:11">
      <c r="A1264" s="42"/>
      <c r="B1264" s="10"/>
      <c r="C1264" s="18"/>
      <c r="D1264" s="18"/>
      <c r="E1264" s="19"/>
      <c r="F1264" s="31"/>
      <c r="G1264" s="186"/>
      <c r="H1264" s="8"/>
      <c r="I1264" s="103"/>
      <c r="J1264" s="103"/>
      <c r="K1264" s="103"/>
    </row>
    <row r="1265" spans="1:11">
      <c r="A1265" s="42"/>
      <c r="B1265" s="10" t="s">
        <v>184</v>
      </c>
      <c r="C1265" s="18"/>
      <c r="D1265" s="18"/>
      <c r="E1265" s="19"/>
      <c r="F1265" s="31"/>
      <c r="G1265" s="186"/>
      <c r="H1265" s="8"/>
      <c r="I1265" s="103"/>
      <c r="J1265" s="103"/>
      <c r="K1265" s="103"/>
    </row>
    <row r="1266" spans="1:11" ht="25.5">
      <c r="A1266" s="42"/>
      <c r="B1266" s="16" t="s">
        <v>551</v>
      </c>
      <c r="C1266" s="18"/>
      <c r="D1266" s="18"/>
      <c r="E1266" s="19"/>
      <c r="F1266" s="31"/>
      <c r="G1266" s="186"/>
      <c r="H1266" s="8"/>
      <c r="I1266" s="103"/>
      <c r="J1266" s="103"/>
      <c r="K1266" s="103"/>
    </row>
    <row r="1267" spans="1:11">
      <c r="A1267" s="42"/>
      <c r="B1267" s="10" t="s">
        <v>552</v>
      </c>
      <c r="C1267" s="13" t="s">
        <v>32</v>
      </c>
      <c r="D1267" s="36">
        <v>5</v>
      </c>
      <c r="E1267" s="10"/>
      <c r="F1267" s="31">
        <f>D1267*E1267</f>
        <v>0</v>
      </c>
      <c r="G1267" s="193"/>
      <c r="H1267" s="8"/>
      <c r="I1267" s="103"/>
      <c r="J1267" s="103"/>
      <c r="K1267" s="103"/>
    </row>
    <row r="1268" spans="1:11">
      <c r="A1268" s="42"/>
      <c r="B1268" s="10"/>
      <c r="C1268" s="18"/>
      <c r="D1268" s="18"/>
      <c r="E1268" s="19"/>
      <c r="F1268" s="31"/>
      <c r="G1268" s="186"/>
      <c r="H1268" s="8"/>
      <c r="I1268" s="103"/>
      <c r="J1268" s="103"/>
      <c r="K1268" s="103"/>
    </row>
    <row r="1269" spans="1:11">
      <c r="A1269" s="42"/>
      <c r="B1269" s="10" t="s">
        <v>127</v>
      </c>
      <c r="C1269" s="18"/>
      <c r="D1269" s="18"/>
      <c r="E1269" s="19"/>
      <c r="F1269" s="31"/>
      <c r="G1269" s="186"/>
      <c r="H1269" s="8"/>
      <c r="I1269" s="103"/>
      <c r="J1269" s="103"/>
      <c r="K1269" s="103"/>
    </row>
    <row r="1270" spans="1:11" ht="25.5">
      <c r="A1270" s="42"/>
      <c r="B1270" s="16" t="s">
        <v>554</v>
      </c>
      <c r="C1270" s="18"/>
      <c r="D1270" s="18"/>
      <c r="E1270" s="19"/>
      <c r="F1270" s="31"/>
      <c r="G1270" s="186"/>
      <c r="H1270" s="8"/>
      <c r="I1270" s="103"/>
      <c r="J1270" s="103"/>
      <c r="K1270" s="103"/>
    </row>
    <row r="1271" spans="1:11">
      <c r="A1271" s="42"/>
      <c r="B1271" s="10" t="s">
        <v>555</v>
      </c>
      <c r="C1271" s="13" t="s">
        <v>32</v>
      </c>
      <c r="D1271" s="36">
        <v>34</v>
      </c>
      <c r="E1271" s="10"/>
      <c r="F1271" s="31">
        <f>D1271*E1271</f>
        <v>0</v>
      </c>
      <c r="G1271" s="193"/>
      <c r="H1271" s="8"/>
      <c r="I1271" s="103"/>
      <c r="J1271" s="103"/>
      <c r="K1271" s="103"/>
    </row>
    <row r="1272" spans="1:11">
      <c r="A1272" s="42"/>
      <c r="B1272" s="10"/>
      <c r="C1272" s="18"/>
      <c r="D1272" s="18"/>
      <c r="E1272" s="19"/>
      <c r="F1272" s="31"/>
      <c r="G1272" s="186"/>
      <c r="H1272" s="8"/>
      <c r="I1272" s="103"/>
      <c r="J1272" s="103"/>
      <c r="K1272" s="103"/>
    </row>
    <row r="1273" spans="1:11">
      <c r="A1273" s="42"/>
      <c r="B1273" s="10" t="s">
        <v>556</v>
      </c>
      <c r="C1273" s="18"/>
      <c r="D1273" s="18"/>
      <c r="E1273" s="19"/>
      <c r="F1273" s="31"/>
      <c r="G1273" s="186"/>
      <c r="H1273" s="8"/>
      <c r="I1273" s="103"/>
      <c r="J1273" s="103"/>
      <c r="K1273" s="103"/>
    </row>
    <row r="1274" spans="1:11" ht="25.5">
      <c r="A1274" s="42"/>
      <c r="B1274" s="16" t="s">
        <v>554</v>
      </c>
      <c r="C1274" s="18"/>
      <c r="D1274" s="18"/>
      <c r="E1274" s="19"/>
      <c r="F1274" s="31"/>
      <c r="G1274" s="186"/>
      <c r="H1274" s="8"/>
      <c r="I1274" s="103"/>
      <c r="J1274" s="103"/>
      <c r="K1274" s="103"/>
    </row>
    <row r="1275" spans="1:11">
      <c r="A1275" s="42"/>
      <c r="B1275" s="10" t="s">
        <v>555</v>
      </c>
      <c r="C1275" s="13" t="s">
        <v>32</v>
      </c>
      <c r="D1275" s="36">
        <v>19</v>
      </c>
      <c r="E1275" s="10"/>
      <c r="F1275" s="31">
        <f>D1275*E1275</f>
        <v>0</v>
      </c>
      <c r="G1275" s="193"/>
      <c r="H1275" s="8"/>
      <c r="I1275" s="103"/>
      <c r="J1275" s="103"/>
      <c r="K1275" s="103"/>
    </row>
    <row r="1276" spans="1:11">
      <c r="A1276" s="42"/>
      <c r="B1276" s="10"/>
      <c r="C1276" s="18"/>
      <c r="D1276" s="18"/>
      <c r="E1276" s="19"/>
      <c r="F1276" s="31"/>
      <c r="G1276" s="186"/>
      <c r="H1276" s="8"/>
      <c r="I1276" s="103"/>
      <c r="J1276" s="103"/>
      <c r="K1276" s="103"/>
    </row>
    <row r="1277" spans="1:11">
      <c r="A1277" s="42"/>
      <c r="B1277" s="10" t="s">
        <v>897</v>
      </c>
      <c r="C1277" s="18"/>
      <c r="D1277" s="18"/>
      <c r="E1277" s="19"/>
      <c r="F1277" s="31"/>
      <c r="G1277" s="186"/>
      <c r="H1277" s="8"/>
      <c r="I1277" s="103"/>
      <c r="J1277" s="103"/>
      <c r="K1277" s="103"/>
    </row>
    <row r="1278" spans="1:11" ht="25.5">
      <c r="A1278" s="42"/>
      <c r="B1278" s="16" t="s">
        <v>554</v>
      </c>
      <c r="C1278" s="18"/>
      <c r="D1278" s="18"/>
      <c r="E1278" s="19"/>
      <c r="F1278" s="31"/>
      <c r="G1278" s="186"/>
      <c r="H1278" s="8"/>
      <c r="I1278" s="103"/>
      <c r="J1278" s="103"/>
      <c r="K1278" s="103"/>
    </row>
    <row r="1279" spans="1:11">
      <c r="A1279" s="42"/>
      <c r="B1279" s="10" t="s">
        <v>898</v>
      </c>
      <c r="C1279" s="13" t="s">
        <v>32</v>
      </c>
      <c r="D1279" s="36">
        <v>5</v>
      </c>
      <c r="E1279" s="10"/>
      <c r="F1279" s="31">
        <f>D1279*E1279</f>
        <v>0</v>
      </c>
      <c r="G1279" s="193"/>
      <c r="H1279" s="8"/>
      <c r="I1279" s="103"/>
      <c r="J1279" s="103"/>
      <c r="K1279" s="103"/>
    </row>
    <row r="1280" spans="1:11">
      <c r="A1280" s="42"/>
      <c r="B1280" s="10"/>
      <c r="C1280" s="18"/>
      <c r="D1280" s="18"/>
      <c r="E1280" s="19"/>
      <c r="F1280" s="31"/>
      <c r="G1280" s="186"/>
      <c r="H1280" s="8"/>
      <c r="I1280" s="103"/>
      <c r="J1280" s="103"/>
      <c r="K1280" s="103"/>
    </row>
    <row r="1281" spans="1:11">
      <c r="A1281" s="42"/>
      <c r="B1281" s="10" t="s">
        <v>899</v>
      </c>
      <c r="C1281" s="18"/>
      <c r="D1281" s="18"/>
      <c r="E1281" s="19"/>
      <c r="F1281" s="31"/>
      <c r="G1281" s="186"/>
      <c r="H1281" s="8"/>
      <c r="I1281" s="103"/>
      <c r="J1281" s="103"/>
      <c r="K1281" s="103"/>
    </row>
    <row r="1282" spans="1:11" ht="25.5">
      <c r="A1282" s="42"/>
      <c r="B1282" s="16" t="s">
        <v>900</v>
      </c>
      <c r="C1282" s="18"/>
      <c r="D1282" s="18"/>
      <c r="E1282" s="19"/>
      <c r="F1282" s="31"/>
      <c r="G1282" s="186"/>
      <c r="H1282" s="8"/>
      <c r="I1282" s="103"/>
      <c r="J1282" s="103"/>
      <c r="K1282" s="103"/>
    </row>
    <row r="1283" spans="1:11">
      <c r="A1283" s="42"/>
      <c r="B1283" s="10" t="s">
        <v>901</v>
      </c>
      <c r="C1283" s="13" t="s">
        <v>32</v>
      </c>
      <c r="D1283" s="36">
        <v>5</v>
      </c>
      <c r="E1283" s="10"/>
      <c r="F1283" s="31">
        <f>D1283*E1283</f>
        <v>0</v>
      </c>
      <c r="G1283" s="193"/>
      <c r="H1283" s="8"/>
      <c r="I1283" s="103"/>
      <c r="J1283" s="103"/>
      <c r="K1283" s="103"/>
    </row>
    <row r="1284" spans="1:11">
      <c r="A1284" s="42"/>
      <c r="B1284" s="10"/>
      <c r="C1284" s="13"/>
      <c r="D1284" s="36"/>
      <c r="E1284" s="10"/>
      <c r="F1284" s="31"/>
      <c r="G1284" s="186"/>
      <c r="H1284" s="8"/>
      <c r="I1284" s="103"/>
      <c r="J1284" s="103"/>
      <c r="K1284" s="103"/>
    </row>
    <row r="1285" spans="1:11">
      <c r="A1285" s="42"/>
      <c r="B1285" s="10" t="s">
        <v>902</v>
      </c>
      <c r="C1285" s="18"/>
      <c r="D1285" s="18"/>
      <c r="E1285" s="19"/>
      <c r="F1285" s="31"/>
      <c r="G1285" s="186"/>
      <c r="H1285" s="8"/>
      <c r="I1285" s="103"/>
      <c r="J1285" s="103"/>
      <c r="K1285" s="103"/>
    </row>
    <row r="1286" spans="1:11" ht="25.5">
      <c r="A1286" s="42"/>
      <c r="B1286" s="16" t="s">
        <v>900</v>
      </c>
      <c r="C1286" s="18"/>
      <c r="D1286" s="18"/>
      <c r="E1286" s="19"/>
      <c r="F1286" s="31"/>
      <c r="G1286" s="186"/>
      <c r="H1286" s="8"/>
      <c r="I1286" s="103"/>
      <c r="J1286" s="103"/>
      <c r="K1286" s="103"/>
    </row>
    <row r="1287" spans="1:11">
      <c r="A1287" s="42"/>
      <c r="B1287" s="10" t="s">
        <v>901</v>
      </c>
      <c r="C1287" s="13" t="s">
        <v>32</v>
      </c>
      <c r="D1287" s="36">
        <v>5</v>
      </c>
      <c r="E1287" s="10"/>
      <c r="F1287" s="31">
        <f>D1287*E1287</f>
        <v>0</v>
      </c>
      <c r="G1287" s="193"/>
      <c r="H1287" s="8"/>
      <c r="I1287" s="103"/>
      <c r="J1287" s="103"/>
      <c r="K1287" s="103"/>
    </row>
    <row r="1288" spans="1:11">
      <c r="A1288" s="42"/>
      <c r="B1288" s="10"/>
      <c r="C1288" s="13"/>
      <c r="D1288" s="36"/>
      <c r="E1288" s="10"/>
      <c r="F1288" s="31"/>
      <c r="G1288" s="186"/>
      <c r="H1288" s="8"/>
      <c r="I1288" s="103"/>
      <c r="J1288" s="103"/>
      <c r="K1288" s="103"/>
    </row>
    <row r="1289" spans="1:11">
      <c r="A1289" s="42"/>
      <c r="B1289" s="10" t="s">
        <v>153</v>
      </c>
      <c r="C1289" s="18"/>
      <c r="D1289" s="18"/>
      <c r="E1289" s="19"/>
      <c r="F1289" s="31"/>
      <c r="G1289" s="186"/>
      <c r="H1289" s="8"/>
      <c r="I1289" s="103"/>
      <c r="J1289" s="103"/>
      <c r="K1289" s="103"/>
    </row>
    <row r="1290" spans="1:11" ht="25.5">
      <c r="A1290" s="42"/>
      <c r="B1290" s="16" t="s">
        <v>900</v>
      </c>
      <c r="C1290" s="18"/>
      <c r="D1290" s="18"/>
      <c r="E1290" s="19"/>
      <c r="F1290" s="31"/>
      <c r="G1290" s="186"/>
      <c r="H1290" s="8"/>
      <c r="I1290" s="103"/>
      <c r="J1290" s="103"/>
      <c r="K1290" s="103"/>
    </row>
    <row r="1291" spans="1:11">
      <c r="A1291" s="42"/>
      <c r="B1291" s="10" t="s">
        <v>903</v>
      </c>
      <c r="C1291" s="13" t="s">
        <v>32</v>
      </c>
      <c r="D1291" s="36">
        <v>1</v>
      </c>
      <c r="E1291" s="10"/>
      <c r="F1291" s="31">
        <f>D1291*E1291</f>
        <v>0</v>
      </c>
      <c r="G1291" s="193"/>
      <c r="H1291" s="8"/>
      <c r="I1291" s="103"/>
      <c r="J1291" s="103"/>
      <c r="K1291" s="103"/>
    </row>
    <row r="1292" spans="1:11">
      <c r="A1292" s="42"/>
      <c r="B1292" s="10"/>
      <c r="C1292" s="13"/>
      <c r="D1292" s="36"/>
      <c r="E1292" s="10"/>
      <c r="F1292" s="31"/>
      <c r="G1292" s="186"/>
      <c r="H1292" s="8"/>
      <c r="I1292" s="103"/>
      <c r="J1292" s="103"/>
      <c r="K1292" s="103"/>
    </row>
    <row r="1293" spans="1:11" ht="89.25">
      <c r="A1293" s="76" t="s">
        <v>183</v>
      </c>
      <c r="B1293" s="25" t="s">
        <v>797</v>
      </c>
      <c r="C1293" s="18"/>
      <c r="D1293" s="18"/>
      <c r="E1293" s="19"/>
      <c r="F1293" s="31"/>
      <c r="G1293" s="186"/>
      <c r="H1293" s="8"/>
      <c r="I1293" s="103"/>
      <c r="J1293" s="103"/>
      <c r="K1293" s="103"/>
    </row>
    <row r="1294" spans="1:11" ht="38.25">
      <c r="A1294" s="277"/>
      <c r="B1294" s="207" t="s">
        <v>547</v>
      </c>
      <c r="C1294" s="279"/>
      <c r="D1294" s="279"/>
      <c r="E1294" s="210"/>
      <c r="F1294" s="211"/>
      <c r="G1294" s="186"/>
      <c r="H1294" s="8"/>
      <c r="I1294" s="103"/>
      <c r="J1294" s="103"/>
      <c r="K1294" s="103"/>
    </row>
    <row r="1295" spans="1:11">
      <c r="A1295" s="42"/>
      <c r="B1295" s="16"/>
      <c r="C1295" s="18"/>
      <c r="D1295" s="18"/>
      <c r="E1295" s="19"/>
      <c r="F1295" s="31"/>
      <c r="G1295" s="186"/>
      <c r="H1295" s="8"/>
      <c r="I1295" s="103"/>
      <c r="J1295" s="103"/>
      <c r="K1295" s="103"/>
    </row>
    <row r="1296" spans="1:11" ht="76.5">
      <c r="A1296" s="42"/>
      <c r="B1296" s="16" t="s">
        <v>557</v>
      </c>
      <c r="C1296" s="18"/>
      <c r="D1296" s="18"/>
      <c r="E1296" s="19"/>
      <c r="F1296" s="31"/>
      <c r="G1296" s="186"/>
      <c r="H1296" s="8"/>
      <c r="I1296" s="103"/>
      <c r="J1296" s="103"/>
      <c r="K1296" s="103"/>
    </row>
    <row r="1297" spans="1:11" ht="38.25">
      <c r="A1297" s="42"/>
      <c r="B1297" s="16" t="s">
        <v>558</v>
      </c>
      <c r="C1297" s="18"/>
      <c r="D1297" s="18"/>
      <c r="E1297" s="19"/>
      <c r="F1297" s="31"/>
      <c r="G1297" s="186"/>
      <c r="H1297" s="8"/>
      <c r="I1297" s="103"/>
      <c r="J1297" s="103"/>
      <c r="K1297" s="103"/>
    </row>
    <row r="1298" spans="1:11" ht="51">
      <c r="A1298" s="42"/>
      <c r="B1298" s="16" t="s">
        <v>559</v>
      </c>
      <c r="C1298" s="18"/>
      <c r="D1298" s="18"/>
      <c r="E1298" s="19"/>
      <c r="F1298" s="31"/>
      <c r="G1298" s="186"/>
      <c r="H1298" s="8"/>
      <c r="I1298" s="103"/>
      <c r="J1298" s="103"/>
      <c r="K1298" s="103"/>
    </row>
    <row r="1299" spans="1:11" ht="140.25">
      <c r="A1299" s="42"/>
      <c r="B1299" s="25" t="s">
        <v>289</v>
      </c>
      <c r="C1299" s="18"/>
      <c r="D1299" s="18"/>
      <c r="E1299" s="19"/>
      <c r="F1299" s="31"/>
      <c r="G1299" s="186"/>
      <c r="H1299" s="8"/>
      <c r="I1299" s="103"/>
      <c r="J1299" s="103"/>
      <c r="K1299" s="103"/>
    </row>
    <row r="1300" spans="1:11" ht="25.5">
      <c r="A1300" s="42"/>
      <c r="B1300" s="25" t="s">
        <v>125</v>
      </c>
      <c r="C1300" s="18"/>
      <c r="D1300" s="18"/>
      <c r="E1300" s="19"/>
      <c r="F1300" s="31"/>
      <c r="G1300" s="186"/>
      <c r="H1300" s="8"/>
      <c r="I1300" s="103"/>
      <c r="J1300" s="103"/>
      <c r="K1300" s="103"/>
    </row>
    <row r="1301" spans="1:11">
      <c r="A1301" s="42"/>
      <c r="B1301" s="25"/>
      <c r="C1301" s="18"/>
      <c r="D1301" s="18"/>
      <c r="E1301" s="19"/>
      <c r="F1301" s="31"/>
      <c r="G1301" s="186"/>
      <c r="H1301" s="8"/>
      <c r="I1301" s="103"/>
      <c r="J1301" s="103"/>
      <c r="K1301" s="103"/>
    </row>
    <row r="1302" spans="1:11">
      <c r="A1302" s="42"/>
      <c r="B1302" s="10" t="s">
        <v>904</v>
      </c>
      <c r="C1302" s="18"/>
      <c r="D1302" s="18"/>
      <c r="E1302" s="19"/>
      <c r="F1302" s="31"/>
      <c r="G1302" s="186"/>
      <c r="H1302" s="8"/>
      <c r="I1302" s="103"/>
      <c r="J1302" s="103"/>
      <c r="K1302" s="103"/>
    </row>
    <row r="1303" spans="1:11" ht="25.5">
      <c r="A1303" s="42"/>
      <c r="B1303" s="16" t="s">
        <v>905</v>
      </c>
      <c r="C1303" s="18"/>
      <c r="D1303" s="18"/>
      <c r="E1303" s="19"/>
      <c r="F1303" s="31"/>
      <c r="G1303" s="186"/>
      <c r="H1303" s="8"/>
      <c r="I1303" s="103"/>
      <c r="J1303" s="103"/>
      <c r="K1303" s="103"/>
    </row>
    <row r="1304" spans="1:11">
      <c r="A1304" s="42"/>
      <c r="B1304" s="10" t="s">
        <v>737</v>
      </c>
      <c r="C1304" s="13" t="s">
        <v>32</v>
      </c>
      <c r="D1304" s="36">
        <v>1</v>
      </c>
      <c r="E1304" s="10"/>
      <c r="F1304" s="31">
        <f>D1304*E1304</f>
        <v>0</v>
      </c>
      <c r="G1304" s="193"/>
      <c r="H1304" s="8"/>
      <c r="I1304" s="103"/>
      <c r="J1304" s="103"/>
      <c r="K1304" s="103"/>
    </row>
    <row r="1305" spans="1:11">
      <c r="A1305" s="42"/>
      <c r="B1305" s="10"/>
      <c r="C1305" s="18"/>
      <c r="D1305" s="18"/>
      <c r="E1305" s="19"/>
      <c r="F1305" s="31"/>
      <c r="G1305" s="186"/>
      <c r="H1305" s="8"/>
      <c r="I1305" s="103"/>
      <c r="J1305" s="103"/>
      <c r="K1305" s="103"/>
    </row>
    <row r="1306" spans="1:11">
      <c r="A1306" s="42"/>
      <c r="B1306" s="10" t="s">
        <v>906</v>
      </c>
      <c r="C1306" s="18"/>
      <c r="D1306" s="18"/>
      <c r="E1306" s="19"/>
      <c r="F1306" s="31"/>
      <c r="G1306" s="186"/>
      <c r="H1306" s="8"/>
      <c r="I1306" s="103"/>
      <c r="J1306" s="103"/>
      <c r="K1306" s="103"/>
    </row>
    <row r="1307" spans="1:11" ht="25.5">
      <c r="A1307" s="42"/>
      <c r="B1307" s="16" t="s">
        <v>907</v>
      </c>
      <c r="C1307" s="18"/>
      <c r="D1307" s="18"/>
      <c r="E1307" s="19"/>
      <c r="F1307" s="31"/>
      <c r="G1307" s="186"/>
      <c r="H1307" s="8"/>
      <c r="I1307" s="103"/>
      <c r="J1307" s="103"/>
      <c r="K1307" s="103"/>
    </row>
    <row r="1308" spans="1:11">
      <c r="A1308" s="42"/>
      <c r="B1308" s="10" t="s">
        <v>908</v>
      </c>
      <c r="C1308" s="13" t="s">
        <v>32</v>
      </c>
      <c r="D1308" s="36">
        <f>6-1</f>
        <v>5</v>
      </c>
      <c r="E1308" s="10"/>
      <c r="F1308" s="31">
        <f>D1308*E1308</f>
        <v>0</v>
      </c>
      <c r="G1308" s="193"/>
      <c r="H1308" s="8"/>
      <c r="I1308" s="103"/>
      <c r="J1308" s="103"/>
      <c r="K1308" s="103"/>
    </row>
    <row r="1309" spans="1:11">
      <c r="A1309" s="42"/>
      <c r="B1309" s="25"/>
      <c r="C1309" s="18"/>
      <c r="D1309" s="18"/>
      <c r="E1309" s="19"/>
      <c r="F1309" s="31"/>
      <c r="G1309" s="186"/>
      <c r="H1309" s="8"/>
      <c r="I1309" s="103"/>
      <c r="J1309" s="103"/>
      <c r="K1309" s="103"/>
    </row>
    <row r="1310" spans="1:11">
      <c r="A1310" s="42"/>
      <c r="B1310" s="10"/>
      <c r="C1310" s="18"/>
      <c r="D1310" s="18"/>
      <c r="E1310" s="19"/>
      <c r="F1310" s="31"/>
      <c r="G1310" s="186"/>
      <c r="H1310" s="8"/>
      <c r="I1310" s="103"/>
      <c r="J1310" s="103"/>
      <c r="K1310" s="103"/>
    </row>
    <row r="1311" spans="1:11">
      <c r="A1311" s="42"/>
      <c r="B1311" s="10" t="s">
        <v>909</v>
      </c>
      <c r="C1311" s="18"/>
      <c r="D1311" s="18"/>
      <c r="E1311" s="19"/>
      <c r="F1311" s="31"/>
      <c r="G1311" s="186"/>
      <c r="H1311" s="8"/>
      <c r="I1311" s="103"/>
      <c r="J1311" s="103"/>
      <c r="K1311" s="103"/>
    </row>
    <row r="1312" spans="1:11" ht="25.5">
      <c r="A1312" s="42"/>
      <c r="B1312" s="16" t="s">
        <v>907</v>
      </c>
      <c r="C1312" s="18"/>
      <c r="D1312" s="18"/>
      <c r="E1312" s="19"/>
      <c r="F1312" s="31"/>
      <c r="G1312" s="186"/>
      <c r="H1312" s="8"/>
      <c r="I1312" s="103"/>
      <c r="J1312" s="103"/>
      <c r="K1312" s="103"/>
    </row>
    <row r="1313" spans="1:11">
      <c r="A1313" s="42"/>
      <c r="B1313" s="10" t="s">
        <v>908</v>
      </c>
      <c r="C1313" s="13" t="s">
        <v>32</v>
      </c>
      <c r="D1313" s="36">
        <f>6-1</f>
        <v>5</v>
      </c>
      <c r="E1313" s="10"/>
      <c r="F1313" s="31">
        <f>D1313*E1313</f>
        <v>0</v>
      </c>
      <c r="G1313" s="193"/>
      <c r="H1313" s="8"/>
      <c r="I1313" s="103"/>
      <c r="J1313" s="103"/>
      <c r="K1313" s="103"/>
    </row>
    <row r="1314" spans="1:11" ht="13.5" thickBot="1">
      <c r="A1314" s="42"/>
      <c r="B1314" s="10"/>
      <c r="C1314" s="18"/>
      <c r="D1314" s="18"/>
      <c r="E1314" s="19"/>
      <c r="F1314" s="31"/>
      <c r="G1314" s="186"/>
      <c r="H1314" s="8"/>
      <c r="I1314" s="103"/>
      <c r="J1314" s="103"/>
      <c r="K1314" s="103"/>
    </row>
    <row r="1315" spans="1:11" s="7" customFormat="1" ht="15.75" thickBot="1">
      <c r="A1315" s="57" t="str">
        <f>A1219</f>
        <v>9.</v>
      </c>
      <c r="B1315" s="58" t="s">
        <v>122</v>
      </c>
      <c r="C1315" s="59"/>
      <c r="D1315" s="60"/>
      <c r="E1315" s="168"/>
      <c r="F1315" s="52">
        <f>SUM(F1220:F1314)</f>
        <v>0</v>
      </c>
      <c r="G1315" s="396"/>
      <c r="H1315" s="313"/>
      <c r="I1315" s="347"/>
      <c r="J1315" s="8"/>
    </row>
    <row r="1316" spans="1:11" s="7" customFormat="1" ht="15.75" thickBot="1">
      <c r="A1316" s="62" t="s">
        <v>4</v>
      </c>
      <c r="B1316" s="72" t="s">
        <v>45</v>
      </c>
      <c r="C1316" s="73"/>
      <c r="D1316" s="74"/>
      <c r="E1316" s="169"/>
      <c r="F1316" s="75"/>
      <c r="G1316" s="194"/>
      <c r="H1316" s="313"/>
      <c r="I1316" s="347"/>
      <c r="J1316" s="8"/>
    </row>
    <row r="1317" spans="1:11" s="7" customFormat="1">
      <c r="A1317" s="32"/>
      <c r="B1317" s="22"/>
      <c r="C1317" s="22"/>
      <c r="D1317" s="22"/>
      <c r="E1317" s="19"/>
      <c r="F1317" s="63"/>
      <c r="G1317" s="194"/>
      <c r="H1317" s="103"/>
      <c r="I1317" s="347"/>
    </row>
    <row r="1318" spans="1:11" s="7" customFormat="1" ht="15">
      <c r="A1318" s="32"/>
      <c r="B1318" s="35" t="s">
        <v>61</v>
      </c>
      <c r="C1318" s="22"/>
      <c r="D1318" s="22"/>
      <c r="E1318" s="19"/>
      <c r="F1318" s="63"/>
      <c r="G1318" s="194"/>
      <c r="H1318" s="103"/>
      <c r="I1318" s="347"/>
    </row>
    <row r="1319" spans="1:11" s="7" customFormat="1" ht="89.25">
      <c r="A1319" s="32"/>
      <c r="B1319" s="237" t="s">
        <v>768</v>
      </c>
      <c r="C1319" s="22"/>
      <c r="D1319" s="22"/>
      <c r="E1319" s="19"/>
      <c r="F1319" s="63"/>
      <c r="G1319" s="194"/>
      <c r="H1319" s="103"/>
      <c r="I1319" s="347"/>
    </row>
    <row r="1320" spans="1:11" s="7" customFormat="1" ht="51">
      <c r="A1320" s="32"/>
      <c r="B1320" s="237" t="s">
        <v>259</v>
      </c>
      <c r="C1320" s="22"/>
      <c r="D1320" s="22"/>
      <c r="E1320" s="19"/>
      <c r="F1320" s="63"/>
      <c r="G1320" s="194"/>
      <c r="H1320" s="103"/>
      <c r="I1320" s="347"/>
    </row>
    <row r="1321" spans="1:11" s="7" customFormat="1" ht="25.5">
      <c r="A1321" s="32"/>
      <c r="B1321" s="237" t="s">
        <v>250</v>
      </c>
      <c r="C1321" s="22"/>
      <c r="D1321" s="22"/>
      <c r="E1321" s="19"/>
      <c r="F1321" s="63"/>
      <c r="G1321" s="194"/>
      <c r="H1321" s="103"/>
      <c r="I1321" s="347"/>
    </row>
    <row r="1322" spans="1:11" s="7" customFormat="1" ht="51">
      <c r="A1322" s="32"/>
      <c r="B1322" s="237" t="s">
        <v>251</v>
      </c>
      <c r="C1322" s="22"/>
      <c r="D1322" s="22"/>
      <c r="E1322" s="19"/>
      <c r="F1322" s="63"/>
      <c r="G1322" s="194"/>
      <c r="H1322" s="103"/>
      <c r="I1322" s="347"/>
    </row>
    <row r="1323" spans="1:11" s="7" customFormat="1" ht="25.5">
      <c r="A1323" s="32"/>
      <c r="B1323" s="237" t="s">
        <v>252</v>
      </c>
      <c r="C1323" s="22"/>
      <c r="D1323" s="22"/>
      <c r="E1323" s="19"/>
      <c r="F1323" s="63"/>
      <c r="G1323" s="194"/>
      <c r="H1323" s="103"/>
      <c r="I1323" s="347"/>
    </row>
    <row r="1324" spans="1:11" s="7" customFormat="1" ht="38.25">
      <c r="A1324" s="32"/>
      <c r="B1324" s="237" t="s">
        <v>253</v>
      </c>
      <c r="C1324" s="22"/>
      <c r="D1324" s="22"/>
      <c r="E1324" s="19"/>
      <c r="F1324" s="63"/>
      <c r="G1324" s="194"/>
      <c r="H1324" s="103"/>
      <c r="I1324" s="347"/>
    </row>
    <row r="1325" spans="1:11" s="7" customFormat="1" ht="25.5">
      <c r="A1325" s="32"/>
      <c r="B1325" s="237" t="s">
        <v>254</v>
      </c>
      <c r="C1325" s="22"/>
      <c r="D1325" s="22"/>
      <c r="E1325" s="19"/>
      <c r="F1325" s="63"/>
      <c r="G1325" s="194"/>
      <c r="H1325" s="103"/>
      <c r="I1325" s="347"/>
    </row>
    <row r="1326" spans="1:11" s="7" customFormat="1" ht="38.25">
      <c r="A1326" s="32"/>
      <c r="B1326" s="237" t="s">
        <v>255</v>
      </c>
      <c r="C1326" s="22"/>
      <c r="D1326" s="22"/>
      <c r="E1326" s="19"/>
      <c r="F1326" s="63"/>
      <c r="G1326" s="194"/>
      <c r="H1326" s="103"/>
      <c r="I1326" s="347"/>
    </row>
    <row r="1327" spans="1:11" s="7" customFormat="1" ht="51">
      <c r="A1327" s="32"/>
      <c r="B1327" s="237" t="s">
        <v>722</v>
      </c>
      <c r="C1327" s="22"/>
      <c r="D1327" s="22"/>
      <c r="E1327" s="19"/>
      <c r="F1327" s="63"/>
      <c r="G1327" s="194"/>
      <c r="H1327" s="103"/>
      <c r="I1327" s="347"/>
    </row>
    <row r="1328" spans="1:11" s="7" customFormat="1" ht="76.5">
      <c r="A1328" s="32"/>
      <c r="B1328" s="237" t="s">
        <v>256</v>
      </c>
      <c r="C1328" s="22"/>
      <c r="D1328" s="22"/>
      <c r="E1328" s="19"/>
      <c r="F1328" s="63"/>
      <c r="G1328" s="194"/>
      <c r="H1328" s="103"/>
      <c r="I1328" s="347"/>
    </row>
    <row r="1329" spans="1:9" s="7" customFormat="1" ht="51">
      <c r="A1329" s="198"/>
      <c r="B1329" s="281" t="s">
        <v>257</v>
      </c>
      <c r="C1329" s="196"/>
      <c r="D1329" s="196"/>
      <c r="E1329" s="210"/>
      <c r="F1329" s="197"/>
      <c r="G1329" s="194"/>
      <c r="H1329" s="103"/>
      <c r="I1329" s="347"/>
    </row>
    <row r="1330" spans="1:9" s="7" customFormat="1">
      <c r="A1330" s="32"/>
      <c r="B1330" s="237"/>
      <c r="C1330" s="22"/>
      <c r="D1330" s="22"/>
      <c r="E1330" s="19"/>
      <c r="F1330" s="63"/>
      <c r="G1330" s="194"/>
      <c r="H1330" s="103"/>
      <c r="I1330" s="347"/>
    </row>
    <row r="1331" spans="1:9" s="7" customFormat="1" ht="114.75">
      <c r="A1331" s="32"/>
      <c r="B1331" s="237" t="s">
        <v>258</v>
      </c>
      <c r="C1331" s="22"/>
      <c r="D1331" s="22"/>
      <c r="E1331" s="19"/>
      <c r="F1331" s="63"/>
      <c r="G1331" s="194"/>
      <c r="H1331" s="103"/>
      <c r="I1331" s="347"/>
    </row>
    <row r="1332" spans="1:9" s="7" customFormat="1">
      <c r="A1332" s="32"/>
      <c r="B1332" s="21"/>
      <c r="C1332" s="22"/>
      <c r="D1332" s="22"/>
      <c r="E1332" s="19"/>
      <c r="F1332" s="63"/>
      <c r="G1332" s="194"/>
      <c r="H1332" s="103"/>
      <c r="I1332" s="347"/>
    </row>
    <row r="1333" spans="1:9" s="7" customFormat="1" ht="15">
      <c r="A1333" s="32"/>
      <c r="B1333" s="98" t="s">
        <v>16</v>
      </c>
      <c r="C1333" s="22"/>
      <c r="D1333" s="22"/>
      <c r="E1333" s="19"/>
      <c r="F1333" s="63"/>
      <c r="G1333" s="194"/>
      <c r="H1333" s="103"/>
      <c r="I1333" s="347"/>
    </row>
    <row r="1334" spans="1:9" s="7" customFormat="1" ht="102">
      <c r="A1334" s="44" t="s">
        <v>194</v>
      </c>
      <c r="B1334" s="25" t="s">
        <v>798</v>
      </c>
      <c r="C1334" s="22"/>
      <c r="D1334" s="22"/>
      <c r="E1334" s="19"/>
      <c r="F1334" s="63"/>
      <c r="G1334" s="194"/>
      <c r="H1334" s="103"/>
      <c r="I1334" s="347"/>
    </row>
    <row r="1335" spans="1:9" s="7" customFormat="1" ht="102">
      <c r="A1335" s="44"/>
      <c r="B1335" s="25" t="s">
        <v>560</v>
      </c>
      <c r="C1335" s="13"/>
      <c r="D1335" s="93"/>
      <c r="E1335" s="19"/>
      <c r="F1335" s="20"/>
      <c r="G1335" s="194"/>
      <c r="H1335" s="8"/>
      <c r="I1335" s="347"/>
    </row>
    <row r="1336" spans="1:9" s="7" customFormat="1" ht="51">
      <c r="A1336" s="44"/>
      <c r="B1336" s="25" t="s">
        <v>561</v>
      </c>
      <c r="C1336" s="13"/>
      <c r="D1336" s="93"/>
      <c r="E1336" s="19"/>
      <c r="F1336" s="20"/>
      <c r="G1336" s="194"/>
      <c r="H1336" s="8"/>
      <c r="I1336" s="347"/>
    </row>
    <row r="1337" spans="1:9" s="7" customFormat="1" ht="63.75">
      <c r="A1337" s="44"/>
      <c r="B1337" s="25" t="s">
        <v>562</v>
      </c>
      <c r="C1337" s="13"/>
      <c r="D1337" s="93"/>
      <c r="E1337" s="19"/>
      <c r="F1337" s="20"/>
      <c r="G1337" s="194"/>
      <c r="H1337" s="8"/>
      <c r="I1337" s="347"/>
    </row>
    <row r="1338" spans="1:9" s="7" customFormat="1" ht="63.75">
      <c r="A1338" s="44"/>
      <c r="B1338" s="25" t="s">
        <v>564</v>
      </c>
      <c r="C1338" s="13"/>
      <c r="D1338" s="93"/>
      <c r="E1338" s="19"/>
      <c r="F1338" s="20"/>
      <c r="G1338" s="194"/>
      <c r="H1338" s="8"/>
      <c r="I1338" s="347"/>
    </row>
    <row r="1339" spans="1:9" s="7" customFormat="1" ht="63.75">
      <c r="A1339" s="44"/>
      <c r="B1339" s="25" t="s">
        <v>565</v>
      </c>
      <c r="C1339" s="13"/>
      <c r="D1339" s="93"/>
      <c r="E1339" s="19"/>
      <c r="F1339" s="20"/>
      <c r="G1339" s="194"/>
      <c r="H1339" s="8"/>
      <c r="I1339" s="347"/>
    </row>
    <row r="1340" spans="1:9" s="7" customFormat="1" ht="38.25">
      <c r="A1340" s="214"/>
      <c r="B1340" s="275" t="s">
        <v>563</v>
      </c>
      <c r="C1340" s="221"/>
      <c r="D1340" s="348"/>
      <c r="E1340" s="210"/>
      <c r="F1340" s="199"/>
      <c r="G1340" s="194"/>
      <c r="H1340" s="8"/>
      <c r="I1340" s="347"/>
    </row>
    <row r="1341" spans="1:9" s="7" customFormat="1">
      <c r="A1341" s="44"/>
      <c r="B1341" s="25"/>
      <c r="C1341" s="13"/>
      <c r="D1341" s="93"/>
      <c r="E1341" s="19"/>
      <c r="F1341" s="20"/>
      <c r="G1341" s="194"/>
      <c r="H1341" s="8"/>
      <c r="I1341" s="347"/>
    </row>
    <row r="1342" spans="1:9" s="7" customFormat="1" ht="38.25">
      <c r="A1342" s="44"/>
      <c r="B1342" s="25" t="s">
        <v>566</v>
      </c>
      <c r="C1342" s="13"/>
      <c r="D1342" s="93"/>
      <c r="E1342" s="19"/>
      <c r="F1342" s="20"/>
      <c r="G1342" s="194"/>
      <c r="H1342" s="8"/>
      <c r="I1342" s="347"/>
    </row>
    <row r="1343" spans="1:9" s="7" customFormat="1" ht="38.25">
      <c r="A1343" s="44"/>
      <c r="B1343" s="34" t="s">
        <v>128</v>
      </c>
      <c r="C1343" s="13"/>
      <c r="D1343" s="93"/>
      <c r="E1343" s="19"/>
      <c r="F1343" s="20"/>
      <c r="G1343" s="194"/>
      <c r="H1343" s="8"/>
      <c r="I1343" s="347"/>
    </row>
    <row r="1344" spans="1:9" s="7" customFormat="1">
      <c r="A1344" s="44"/>
      <c r="B1344" s="34"/>
      <c r="C1344" s="13"/>
      <c r="D1344" s="93"/>
      <c r="E1344" s="19"/>
      <c r="F1344" s="20"/>
      <c r="G1344" s="194"/>
      <c r="H1344" s="8"/>
      <c r="I1344" s="347"/>
    </row>
    <row r="1345" spans="1:9" s="7" customFormat="1">
      <c r="A1345" s="44"/>
      <c r="B1345" s="10" t="s">
        <v>185</v>
      </c>
      <c r="C1345" s="13"/>
      <c r="D1345" s="10"/>
      <c r="E1345" s="19"/>
      <c r="F1345" s="20"/>
      <c r="G1345" s="194"/>
      <c r="H1345" s="9"/>
      <c r="I1345" s="347"/>
    </row>
    <row r="1346" spans="1:9" s="7" customFormat="1" ht="38.25">
      <c r="A1346" s="44"/>
      <c r="B1346" s="25" t="s">
        <v>567</v>
      </c>
      <c r="C1346" s="13"/>
      <c r="D1346" s="10"/>
      <c r="E1346" s="19"/>
      <c r="F1346" s="20"/>
      <c r="G1346" s="194"/>
      <c r="H1346" s="9"/>
      <c r="I1346" s="347"/>
    </row>
    <row r="1347" spans="1:9" s="7" customFormat="1">
      <c r="A1347" s="44"/>
      <c r="B1347" s="10" t="s">
        <v>1210</v>
      </c>
      <c r="C1347" s="13" t="s">
        <v>32</v>
      </c>
      <c r="D1347" s="36">
        <v>1</v>
      </c>
      <c r="E1347" s="10"/>
      <c r="F1347" s="20">
        <f>D1347*E1347</f>
        <v>0</v>
      </c>
      <c r="G1347" s="193"/>
      <c r="H1347" s="9"/>
      <c r="I1347" s="347"/>
    </row>
    <row r="1348" spans="1:9" s="7" customFormat="1">
      <c r="A1348" s="44"/>
      <c r="B1348" s="10"/>
      <c r="C1348" s="13"/>
      <c r="D1348" s="36"/>
      <c r="E1348" s="19"/>
      <c r="F1348" s="20"/>
      <c r="G1348" s="194"/>
      <c r="H1348" s="9"/>
      <c r="I1348" s="347"/>
    </row>
    <row r="1349" spans="1:9" s="7" customFormat="1" ht="15">
      <c r="A1349" s="44" t="s">
        <v>195</v>
      </c>
      <c r="B1349" s="98" t="s">
        <v>16</v>
      </c>
      <c r="C1349" s="13"/>
      <c r="D1349" s="36"/>
      <c r="E1349" s="19"/>
      <c r="F1349" s="20"/>
      <c r="G1349" s="194"/>
      <c r="H1349" s="9"/>
      <c r="I1349" s="347"/>
    </row>
    <row r="1350" spans="1:9" s="7" customFormat="1" ht="102">
      <c r="A1350" s="194"/>
      <c r="B1350" s="25" t="s">
        <v>799</v>
      </c>
      <c r="C1350" s="13"/>
      <c r="D1350" s="36"/>
      <c r="E1350" s="19"/>
      <c r="F1350" s="20"/>
      <c r="G1350" s="194"/>
      <c r="H1350" s="9"/>
      <c r="I1350" s="347"/>
    </row>
    <row r="1351" spans="1:9" s="7" customFormat="1" ht="102">
      <c r="A1351" s="44"/>
      <c r="B1351" s="16" t="s">
        <v>569</v>
      </c>
      <c r="C1351" s="13"/>
      <c r="D1351" s="36"/>
      <c r="E1351" s="19"/>
      <c r="F1351" s="20"/>
      <c r="G1351" s="194"/>
      <c r="H1351" s="9"/>
      <c r="I1351" s="347"/>
    </row>
    <row r="1352" spans="1:9" s="7" customFormat="1" ht="38.25">
      <c r="A1352" s="44"/>
      <c r="B1352" s="16" t="s">
        <v>570</v>
      </c>
      <c r="C1352" s="13"/>
      <c r="D1352" s="36"/>
      <c r="E1352" s="19"/>
      <c r="F1352" s="20"/>
      <c r="G1352" s="194"/>
      <c r="H1352" s="9"/>
      <c r="I1352" s="347"/>
    </row>
    <row r="1353" spans="1:9" s="7" customFormat="1" ht="51">
      <c r="A1353" s="44"/>
      <c r="B1353" s="16" t="s">
        <v>571</v>
      </c>
      <c r="C1353" s="13"/>
      <c r="D1353" s="36"/>
      <c r="E1353" s="19"/>
      <c r="F1353" s="20"/>
      <c r="G1353" s="194"/>
      <c r="H1353" s="9"/>
      <c r="I1353" s="347"/>
    </row>
    <row r="1354" spans="1:9" s="7" customFormat="1" ht="38.25">
      <c r="A1354" s="44"/>
      <c r="B1354" s="25" t="s">
        <v>566</v>
      </c>
      <c r="C1354" s="13"/>
      <c r="D1354" s="36"/>
      <c r="E1354" s="19"/>
      <c r="F1354" s="20"/>
      <c r="G1354" s="194"/>
      <c r="H1354" s="9"/>
      <c r="I1354" s="347"/>
    </row>
    <row r="1355" spans="1:9" s="7" customFormat="1" ht="38.25">
      <c r="A1355" s="44"/>
      <c r="B1355" s="34" t="s">
        <v>128</v>
      </c>
      <c r="C1355" s="13"/>
      <c r="D1355" s="36"/>
      <c r="E1355" s="19"/>
      <c r="F1355" s="20"/>
      <c r="G1355" s="194"/>
      <c r="H1355" s="9"/>
      <c r="I1355" s="347"/>
    </row>
    <row r="1356" spans="1:9" s="7" customFormat="1">
      <c r="A1356" s="44"/>
      <c r="B1356" s="10"/>
      <c r="C1356" s="13"/>
      <c r="D1356" s="36"/>
      <c r="E1356" s="19"/>
      <c r="F1356" s="20"/>
      <c r="G1356" s="194"/>
      <c r="H1356" s="9"/>
      <c r="I1356" s="347"/>
    </row>
    <row r="1357" spans="1:9" s="7" customFormat="1">
      <c r="A1357" s="44"/>
      <c r="B1357" s="10" t="s">
        <v>1211</v>
      </c>
      <c r="C1357" s="13"/>
      <c r="D1357" s="10"/>
      <c r="E1357" s="19"/>
      <c r="F1357" s="20"/>
      <c r="G1357" s="194"/>
      <c r="H1357" s="9"/>
      <c r="I1357" s="347"/>
    </row>
    <row r="1358" spans="1:9" s="7" customFormat="1" ht="38.25">
      <c r="A1358" s="44"/>
      <c r="B1358" s="25" t="s">
        <v>568</v>
      </c>
      <c r="C1358" s="13"/>
      <c r="D1358" s="10"/>
      <c r="E1358" s="19"/>
      <c r="F1358" s="20"/>
      <c r="G1358" s="194"/>
      <c r="H1358" s="9"/>
      <c r="I1358" s="347"/>
    </row>
    <row r="1359" spans="1:9" s="7" customFormat="1">
      <c r="A1359" s="214"/>
      <c r="B1359" s="215" t="s">
        <v>1212</v>
      </c>
      <c r="C1359" s="221" t="s">
        <v>32</v>
      </c>
      <c r="D1359" s="280">
        <v>1</v>
      </c>
      <c r="E1359" s="215"/>
      <c r="F1359" s="199">
        <f>D1359*E1359</f>
        <v>0</v>
      </c>
      <c r="G1359" s="193"/>
      <c r="H1359" s="9"/>
      <c r="I1359" s="347"/>
    </row>
    <row r="1360" spans="1:9" s="7" customFormat="1">
      <c r="A1360" s="44"/>
      <c r="B1360" s="10"/>
      <c r="C1360" s="13"/>
      <c r="D1360" s="36"/>
      <c r="E1360" s="19"/>
      <c r="F1360" s="20"/>
      <c r="G1360" s="194"/>
      <c r="H1360" s="9"/>
      <c r="I1360" s="347"/>
    </row>
    <row r="1361" spans="1:9" s="7" customFormat="1" ht="15">
      <c r="A1361" s="32"/>
      <c r="B1361" s="98" t="s">
        <v>16</v>
      </c>
      <c r="C1361" s="13"/>
      <c r="D1361" s="36"/>
      <c r="E1361" s="19"/>
      <c r="F1361" s="20"/>
      <c r="G1361" s="194"/>
      <c r="H1361" s="9"/>
      <c r="I1361" s="347"/>
    </row>
    <row r="1362" spans="1:9" s="7" customFormat="1" ht="89.25">
      <c r="A1362" s="44" t="s">
        <v>196</v>
      </c>
      <c r="B1362" s="25" t="s">
        <v>800</v>
      </c>
      <c r="C1362" s="13"/>
      <c r="D1362" s="36"/>
      <c r="E1362" s="19"/>
      <c r="F1362" s="20"/>
      <c r="G1362" s="194"/>
      <c r="H1362" s="9"/>
      <c r="I1362" s="347"/>
    </row>
    <row r="1363" spans="1:9" s="7" customFormat="1" ht="63.75">
      <c r="A1363" s="44"/>
      <c r="B1363" s="25" t="s">
        <v>574</v>
      </c>
      <c r="C1363" s="13"/>
      <c r="D1363" s="36"/>
      <c r="E1363" s="19"/>
      <c r="F1363" s="20"/>
      <c r="G1363" s="194"/>
      <c r="H1363" s="9"/>
      <c r="I1363" s="347"/>
    </row>
    <row r="1364" spans="1:9" s="7" customFormat="1" ht="63.75">
      <c r="A1364" s="44"/>
      <c r="B1364" s="16" t="s">
        <v>572</v>
      </c>
      <c r="C1364" s="13"/>
      <c r="D1364" s="36"/>
      <c r="E1364" s="19"/>
      <c r="F1364" s="20"/>
      <c r="G1364" s="194"/>
      <c r="H1364" s="9"/>
      <c r="I1364" s="347"/>
    </row>
    <row r="1365" spans="1:9" s="7" customFormat="1" ht="63.75">
      <c r="A1365" s="44"/>
      <c r="B1365" s="16" t="s">
        <v>573</v>
      </c>
      <c r="C1365" s="13"/>
      <c r="D1365" s="36"/>
      <c r="E1365" s="19"/>
      <c r="F1365" s="20"/>
      <c r="G1365" s="194"/>
      <c r="H1365" s="9"/>
      <c r="I1365" s="347"/>
    </row>
    <row r="1366" spans="1:9" s="7" customFormat="1" ht="38.25">
      <c r="A1366" s="44"/>
      <c r="B1366" s="16" t="s">
        <v>563</v>
      </c>
      <c r="C1366" s="13"/>
      <c r="D1366" s="36"/>
      <c r="E1366" s="19"/>
      <c r="F1366" s="20"/>
      <c r="G1366" s="194"/>
      <c r="H1366" s="9"/>
      <c r="I1366" s="347"/>
    </row>
    <row r="1367" spans="1:9" s="7" customFormat="1" ht="38.25">
      <c r="A1367" s="44"/>
      <c r="B1367" s="25" t="s">
        <v>566</v>
      </c>
      <c r="C1367" s="13"/>
      <c r="D1367" s="36"/>
      <c r="E1367" s="19"/>
      <c r="F1367" s="20"/>
      <c r="G1367" s="194"/>
      <c r="H1367" s="9"/>
      <c r="I1367" s="347"/>
    </row>
    <row r="1368" spans="1:9" s="7" customFormat="1" ht="38.25">
      <c r="A1368" s="44"/>
      <c r="B1368" s="34" t="s">
        <v>128</v>
      </c>
      <c r="C1368" s="13"/>
      <c r="D1368" s="36"/>
      <c r="E1368" s="19"/>
      <c r="F1368" s="20"/>
      <c r="G1368" s="194"/>
      <c r="H1368" s="9"/>
      <c r="I1368" s="347"/>
    </row>
    <row r="1369" spans="1:9" s="7" customFormat="1">
      <c r="A1369" s="44"/>
      <c r="B1369" s="10"/>
      <c r="C1369" s="13"/>
      <c r="D1369" s="36"/>
      <c r="E1369" s="19"/>
      <c r="F1369" s="20"/>
      <c r="G1369" s="194"/>
      <c r="H1369" s="9"/>
      <c r="I1369" s="347"/>
    </row>
    <row r="1370" spans="1:9" s="7" customFormat="1">
      <c r="A1370" s="44"/>
      <c r="B1370" s="10" t="s">
        <v>910</v>
      </c>
      <c r="C1370" s="13"/>
      <c r="D1370" s="10"/>
      <c r="E1370" s="19"/>
      <c r="F1370" s="20"/>
      <c r="G1370" s="194"/>
      <c r="H1370" s="9"/>
      <c r="I1370" s="347"/>
    </row>
    <row r="1371" spans="1:9" s="7" customFormat="1" ht="38.25">
      <c r="A1371" s="44"/>
      <c r="B1371" s="25" t="s">
        <v>575</v>
      </c>
      <c r="C1371" s="13"/>
      <c r="D1371" s="10"/>
      <c r="E1371" s="19"/>
      <c r="F1371" s="20"/>
      <c r="G1371" s="194"/>
      <c r="H1371" s="9"/>
      <c r="I1371" s="347"/>
    </row>
    <row r="1372" spans="1:9" s="7" customFormat="1">
      <c r="A1372" s="44"/>
      <c r="B1372" s="10" t="s">
        <v>911</v>
      </c>
      <c r="C1372" s="13" t="s">
        <v>32</v>
      </c>
      <c r="D1372" s="36">
        <v>2</v>
      </c>
      <c r="E1372" s="10"/>
      <c r="F1372" s="20">
        <f>D1372*E1372</f>
        <v>0</v>
      </c>
      <c r="G1372" s="193"/>
      <c r="H1372" s="9"/>
      <c r="I1372" s="347"/>
    </row>
    <row r="1373" spans="1:9" s="7" customFormat="1">
      <c r="A1373" s="44"/>
      <c r="B1373" s="10"/>
      <c r="C1373" s="13"/>
      <c r="D1373" s="36"/>
      <c r="E1373" s="19"/>
      <c r="F1373" s="20"/>
      <c r="G1373" s="194"/>
      <c r="H1373" s="9"/>
      <c r="I1373" s="347"/>
    </row>
    <row r="1374" spans="1:9" s="7" customFormat="1">
      <c r="A1374" s="44"/>
      <c r="B1374" s="10" t="s">
        <v>912</v>
      </c>
      <c r="C1374" s="13"/>
      <c r="D1374" s="10"/>
      <c r="E1374" s="19"/>
      <c r="F1374" s="20"/>
      <c r="G1374" s="194"/>
      <c r="H1374" s="9"/>
      <c r="I1374" s="347"/>
    </row>
    <row r="1375" spans="1:9" s="7" customFormat="1" ht="38.25">
      <c r="A1375" s="44"/>
      <c r="B1375" s="25" t="s">
        <v>575</v>
      </c>
      <c r="C1375" s="13"/>
      <c r="D1375" s="10"/>
      <c r="E1375" s="19"/>
      <c r="F1375" s="20"/>
      <c r="G1375" s="194"/>
      <c r="H1375" s="9"/>
      <c r="I1375" s="347"/>
    </row>
    <row r="1376" spans="1:9" s="7" customFormat="1">
      <c r="A1376" s="44"/>
      <c r="B1376" s="10" t="s">
        <v>913</v>
      </c>
      <c r="C1376" s="13" t="s">
        <v>32</v>
      </c>
      <c r="D1376" s="36">
        <v>1</v>
      </c>
      <c r="E1376" s="10"/>
      <c r="F1376" s="20">
        <f>D1376*E1376</f>
        <v>0</v>
      </c>
      <c r="G1376" s="193"/>
      <c r="H1376" s="9"/>
      <c r="I1376" s="347"/>
    </row>
    <row r="1377" spans="1:9" s="7" customFormat="1">
      <c r="A1377" s="44"/>
      <c r="B1377" s="10"/>
      <c r="C1377" s="13"/>
      <c r="D1377" s="36"/>
      <c r="E1377" s="10"/>
      <c r="F1377" s="20"/>
      <c r="G1377" s="193"/>
      <c r="H1377" s="9"/>
      <c r="I1377" s="347"/>
    </row>
    <row r="1378" spans="1:9" s="7" customFormat="1">
      <c r="A1378" s="44"/>
      <c r="B1378" s="10" t="s">
        <v>1176</v>
      </c>
      <c r="C1378" s="13"/>
      <c r="D1378" s="10"/>
      <c r="E1378" s="19"/>
      <c r="F1378" s="20"/>
      <c r="G1378" s="194"/>
      <c r="H1378" s="9"/>
      <c r="I1378" s="347"/>
    </row>
    <row r="1379" spans="1:9" s="7" customFormat="1" ht="38.25">
      <c r="A1379" s="44"/>
      <c r="B1379" s="25" t="s">
        <v>575</v>
      </c>
      <c r="C1379" s="13"/>
      <c r="D1379" s="10"/>
      <c r="E1379" s="19"/>
      <c r="F1379" s="20"/>
      <c r="G1379" s="194"/>
      <c r="H1379" s="9"/>
      <c r="I1379" s="347"/>
    </row>
    <row r="1380" spans="1:9" s="7" customFormat="1">
      <c r="A1380" s="214"/>
      <c r="B1380" s="215" t="s">
        <v>1177</v>
      </c>
      <c r="C1380" s="221" t="s">
        <v>32</v>
      </c>
      <c r="D1380" s="280">
        <v>1</v>
      </c>
      <c r="E1380" s="215"/>
      <c r="F1380" s="199">
        <f>D1380*E1380</f>
        <v>0</v>
      </c>
      <c r="G1380" s="193"/>
      <c r="H1380" s="9"/>
      <c r="I1380" s="347"/>
    </row>
    <row r="1381" spans="1:9" s="7" customFormat="1">
      <c r="A1381" s="44"/>
      <c r="B1381" s="10"/>
      <c r="C1381" s="13"/>
      <c r="D1381" s="36"/>
      <c r="E1381" s="19"/>
      <c r="F1381" s="20"/>
      <c r="G1381" s="194"/>
      <c r="H1381" s="9"/>
      <c r="I1381" s="347"/>
    </row>
    <row r="1382" spans="1:9" s="7" customFormat="1">
      <c r="A1382" s="44"/>
      <c r="B1382" s="10" t="s">
        <v>916</v>
      </c>
      <c r="C1382" s="13"/>
      <c r="D1382" s="10"/>
      <c r="E1382" s="19"/>
      <c r="F1382" s="20"/>
      <c r="G1382" s="194"/>
      <c r="H1382" s="9"/>
      <c r="I1382" s="347"/>
    </row>
    <row r="1383" spans="1:9" s="7" customFormat="1" ht="25.5">
      <c r="A1383" s="44"/>
      <c r="B1383" s="25" t="s">
        <v>914</v>
      </c>
      <c r="C1383" s="13"/>
      <c r="D1383" s="10"/>
      <c r="E1383" s="19"/>
      <c r="F1383" s="20"/>
      <c r="G1383" s="194"/>
      <c r="H1383" s="9"/>
      <c r="I1383" s="347"/>
    </row>
    <row r="1384" spans="1:9" s="7" customFormat="1">
      <c r="A1384" s="44"/>
      <c r="B1384" s="10" t="s">
        <v>915</v>
      </c>
      <c r="C1384" s="13" t="s">
        <v>32</v>
      </c>
      <c r="D1384" s="36">
        <v>4</v>
      </c>
      <c r="E1384" s="10"/>
      <c r="F1384" s="20">
        <f>D1384*E1384</f>
        <v>0</v>
      </c>
      <c r="G1384" s="193"/>
      <c r="H1384" s="9"/>
      <c r="I1384" s="347"/>
    </row>
    <row r="1385" spans="1:9" s="7" customFormat="1">
      <c r="A1385" s="44"/>
      <c r="B1385" s="10"/>
      <c r="C1385" s="13"/>
      <c r="D1385" s="36"/>
      <c r="E1385" s="19"/>
      <c r="F1385" s="20"/>
      <c r="G1385" s="194"/>
      <c r="H1385" s="9"/>
      <c r="I1385" s="347"/>
    </row>
    <row r="1386" spans="1:9" s="7" customFormat="1" ht="38.25">
      <c r="A1386" s="44" t="s">
        <v>197</v>
      </c>
      <c r="B1386" s="25" t="s">
        <v>801</v>
      </c>
      <c r="C1386" s="13"/>
      <c r="D1386" s="36"/>
      <c r="E1386" s="19"/>
      <c r="F1386" s="20"/>
      <c r="G1386" s="194"/>
      <c r="H1386" s="9"/>
      <c r="I1386" s="347"/>
    </row>
    <row r="1387" spans="1:9" s="7" customFormat="1" ht="89.25">
      <c r="A1387" s="44"/>
      <c r="B1387" s="16" t="s">
        <v>576</v>
      </c>
      <c r="C1387" s="13"/>
      <c r="D1387" s="36"/>
      <c r="E1387" s="19"/>
      <c r="F1387" s="20"/>
      <c r="G1387" s="194"/>
      <c r="H1387" s="9"/>
      <c r="I1387" s="347"/>
    </row>
    <row r="1388" spans="1:9" s="7" customFormat="1" ht="51">
      <c r="A1388" s="44"/>
      <c r="B1388" s="16" t="s">
        <v>577</v>
      </c>
      <c r="C1388" s="13"/>
      <c r="D1388" s="36"/>
      <c r="E1388" s="19"/>
      <c r="F1388" s="20"/>
      <c r="G1388" s="194"/>
      <c r="H1388" s="9"/>
      <c r="I1388" s="347"/>
    </row>
    <row r="1389" spans="1:9" s="7" customFormat="1" ht="25.5">
      <c r="A1389" s="44"/>
      <c r="B1389" s="16" t="s">
        <v>578</v>
      </c>
      <c r="C1389" s="13"/>
      <c r="D1389" s="36"/>
      <c r="E1389" s="19"/>
      <c r="F1389" s="20"/>
      <c r="G1389" s="194"/>
      <c r="H1389" s="9"/>
      <c r="I1389" s="347"/>
    </row>
    <row r="1390" spans="1:9" s="7" customFormat="1" ht="38.25">
      <c r="A1390" s="44"/>
      <c r="B1390" s="16" t="s">
        <v>579</v>
      </c>
      <c r="C1390" s="13"/>
      <c r="D1390" s="36"/>
      <c r="E1390" s="19"/>
      <c r="F1390" s="20"/>
      <c r="G1390" s="194"/>
      <c r="H1390" s="9"/>
      <c r="I1390" s="347"/>
    </row>
    <row r="1391" spans="1:9" s="7" customFormat="1" ht="25.5">
      <c r="A1391" s="44"/>
      <c r="B1391" s="34" t="s">
        <v>580</v>
      </c>
      <c r="C1391" s="13"/>
      <c r="D1391" s="36"/>
      <c r="E1391" s="19"/>
      <c r="F1391" s="20"/>
      <c r="G1391" s="194"/>
      <c r="H1391" s="9"/>
      <c r="I1391" s="347"/>
    </row>
    <row r="1392" spans="1:9" s="7" customFormat="1">
      <c r="A1392" s="44"/>
      <c r="B1392" s="10"/>
      <c r="C1392" s="13"/>
      <c r="D1392" s="36"/>
      <c r="E1392" s="19"/>
      <c r="F1392" s="20"/>
      <c r="G1392" s="194"/>
      <c r="H1392" s="9"/>
      <c r="I1392" s="347"/>
    </row>
    <row r="1393" spans="1:9" s="7" customFormat="1">
      <c r="A1393" s="44"/>
      <c r="B1393" s="10" t="s">
        <v>917</v>
      </c>
      <c r="C1393" s="13"/>
      <c r="D1393" s="10"/>
      <c r="E1393" s="19"/>
      <c r="F1393" s="20"/>
      <c r="G1393" s="194"/>
      <c r="H1393" s="9"/>
      <c r="I1393" s="347"/>
    </row>
    <row r="1394" spans="1:9" s="7" customFormat="1">
      <c r="A1394" s="44"/>
      <c r="B1394" s="25" t="s">
        <v>1213</v>
      </c>
      <c r="C1394" s="13"/>
      <c r="D1394" s="10"/>
      <c r="E1394" s="19"/>
      <c r="F1394" s="20"/>
      <c r="G1394" s="194"/>
      <c r="H1394" s="9"/>
      <c r="I1394" s="347"/>
    </row>
    <row r="1395" spans="1:9" s="7" customFormat="1">
      <c r="A1395" s="44"/>
      <c r="B1395" s="10" t="s">
        <v>581</v>
      </c>
      <c r="C1395" s="13" t="s">
        <v>32</v>
      </c>
      <c r="D1395" s="36">
        <v>1</v>
      </c>
      <c r="E1395" s="10"/>
      <c r="F1395" s="20">
        <f>D1395*E1395</f>
        <v>0</v>
      </c>
      <c r="G1395" s="193"/>
      <c r="H1395" s="9"/>
      <c r="I1395" s="347"/>
    </row>
    <row r="1396" spans="1:9" s="7" customFormat="1">
      <c r="A1396" s="44"/>
      <c r="B1396" s="10"/>
      <c r="C1396" s="13"/>
      <c r="D1396" s="36"/>
      <c r="E1396" s="19"/>
      <c r="F1396" s="20"/>
      <c r="G1396" s="194"/>
      <c r="H1396" s="9"/>
      <c r="I1396" s="347"/>
    </row>
    <row r="1397" spans="1:9" s="7" customFormat="1" ht="153">
      <c r="A1397" s="44" t="s">
        <v>198</v>
      </c>
      <c r="B1397" s="25" t="s">
        <v>918</v>
      </c>
      <c r="C1397" s="13"/>
      <c r="D1397" s="93"/>
      <c r="E1397" s="19"/>
      <c r="F1397" s="20"/>
      <c r="G1397" s="194"/>
      <c r="H1397" s="8"/>
      <c r="I1397" s="347"/>
    </row>
    <row r="1398" spans="1:9" s="7" customFormat="1" ht="89.25">
      <c r="A1398" s="214"/>
      <c r="B1398" s="349" t="s">
        <v>582</v>
      </c>
      <c r="C1398" s="221"/>
      <c r="D1398" s="348"/>
      <c r="E1398" s="210"/>
      <c r="F1398" s="199"/>
      <c r="G1398" s="194"/>
      <c r="H1398" s="8"/>
      <c r="I1398" s="347"/>
    </row>
    <row r="1399" spans="1:9" s="7" customFormat="1">
      <c r="A1399" s="44"/>
      <c r="B1399" s="34"/>
      <c r="C1399" s="13"/>
      <c r="D1399" s="93"/>
      <c r="E1399" s="19"/>
      <c r="F1399" s="20"/>
      <c r="G1399" s="194"/>
      <c r="H1399" s="8"/>
      <c r="I1399" s="347"/>
    </row>
    <row r="1400" spans="1:9" s="7" customFormat="1" ht="38.25">
      <c r="A1400" s="44"/>
      <c r="B1400" s="34" t="s">
        <v>271</v>
      </c>
      <c r="C1400" s="13"/>
      <c r="D1400" s="93"/>
      <c r="E1400" s="19"/>
      <c r="F1400" s="20"/>
      <c r="G1400" s="194"/>
      <c r="H1400" s="8"/>
      <c r="I1400" s="347"/>
    </row>
    <row r="1401" spans="1:9" s="7" customFormat="1" ht="25.5">
      <c r="A1401" s="44"/>
      <c r="B1401" s="34" t="s">
        <v>131</v>
      </c>
      <c r="C1401" s="13"/>
      <c r="D1401" s="93"/>
      <c r="E1401" s="19"/>
      <c r="F1401" s="20"/>
      <c r="G1401" s="194"/>
      <c r="H1401" s="8"/>
      <c r="I1401" s="347"/>
    </row>
    <row r="1402" spans="1:9" s="7" customFormat="1">
      <c r="A1402" s="44"/>
      <c r="B1402" s="25"/>
      <c r="C1402" s="13"/>
      <c r="D1402" s="93"/>
      <c r="E1402" s="19"/>
      <c r="F1402" s="20"/>
      <c r="G1402" s="194"/>
      <c r="H1402" s="8"/>
      <c r="I1402" s="347"/>
    </row>
    <row r="1403" spans="1:9" s="7" customFormat="1">
      <c r="A1403" s="44"/>
      <c r="B1403" s="16" t="s">
        <v>130</v>
      </c>
      <c r="C1403" s="13"/>
      <c r="D1403" s="93"/>
      <c r="E1403" s="19"/>
      <c r="F1403" s="20"/>
      <c r="G1403" s="194"/>
      <c r="H1403" s="8"/>
      <c r="I1403" s="347"/>
    </row>
    <row r="1404" spans="1:9" s="7" customFormat="1" ht="25.5">
      <c r="A1404" s="44"/>
      <c r="B1404" s="25" t="s">
        <v>919</v>
      </c>
      <c r="C1404" s="13"/>
      <c r="D1404" s="93"/>
      <c r="E1404" s="19"/>
      <c r="F1404" s="20"/>
      <c r="G1404" s="194"/>
      <c r="H1404" s="8"/>
      <c r="I1404" s="347"/>
    </row>
    <row r="1405" spans="1:9" s="7" customFormat="1">
      <c r="A1405" s="44"/>
      <c r="B1405" s="16" t="s">
        <v>178</v>
      </c>
      <c r="C1405" s="13" t="s">
        <v>32</v>
      </c>
      <c r="D1405" s="93">
        <v>2</v>
      </c>
      <c r="E1405" s="16"/>
      <c r="F1405" s="20">
        <f>SUM(D1405*E1405)</f>
        <v>0</v>
      </c>
      <c r="G1405" s="193"/>
      <c r="H1405" s="8"/>
      <c r="I1405" s="347"/>
    </row>
    <row r="1406" spans="1:9" s="7" customFormat="1">
      <c r="A1406" s="44"/>
      <c r="B1406" s="16"/>
      <c r="C1406" s="13"/>
      <c r="D1406" s="93"/>
      <c r="E1406" s="19"/>
      <c r="F1406" s="20"/>
      <c r="G1406" s="194"/>
      <c r="H1406" s="8"/>
      <c r="I1406" s="347"/>
    </row>
    <row r="1407" spans="1:9" s="7" customFormat="1" ht="25.5">
      <c r="A1407" s="44" t="s">
        <v>199</v>
      </c>
      <c r="B1407" s="25" t="s">
        <v>802</v>
      </c>
      <c r="C1407" s="18"/>
      <c r="D1407" s="38"/>
      <c r="E1407" s="19"/>
      <c r="F1407" s="20">
        <f>SUM(D1407*E1407)</f>
        <v>0</v>
      </c>
      <c r="G1407" s="194"/>
      <c r="H1407" s="8"/>
      <c r="I1407" s="347"/>
    </row>
    <row r="1408" spans="1:9" s="7" customFormat="1" ht="114.75">
      <c r="A1408" s="37"/>
      <c r="B1408" s="25" t="s">
        <v>583</v>
      </c>
      <c r="C1408" s="18"/>
      <c r="D1408" s="18"/>
      <c r="E1408" s="19"/>
      <c r="F1408" s="20"/>
      <c r="G1408" s="194"/>
      <c r="H1408" s="8"/>
      <c r="I1408" s="347"/>
    </row>
    <row r="1409" spans="1:9" s="7" customFormat="1" ht="63.75">
      <c r="A1409" s="37"/>
      <c r="B1409" s="25" t="s">
        <v>584</v>
      </c>
      <c r="C1409" s="18"/>
      <c r="D1409" s="18"/>
      <c r="E1409" s="19"/>
      <c r="F1409" s="20"/>
      <c r="G1409" s="194"/>
      <c r="H1409" s="8"/>
      <c r="I1409" s="347"/>
    </row>
    <row r="1410" spans="1:9" s="7" customFormat="1" ht="38.25">
      <c r="A1410" s="42"/>
      <c r="B1410" s="34" t="s">
        <v>271</v>
      </c>
      <c r="C1410" s="18"/>
      <c r="D1410" s="18"/>
      <c r="E1410" s="19"/>
      <c r="F1410" s="20"/>
      <c r="G1410" s="194"/>
      <c r="H1410" s="8"/>
      <c r="I1410" s="347"/>
    </row>
    <row r="1411" spans="1:9" s="7" customFormat="1" ht="25.5">
      <c r="A1411" s="42"/>
      <c r="B1411" s="34" t="s">
        <v>132</v>
      </c>
      <c r="C1411" s="18"/>
      <c r="D1411" s="18"/>
      <c r="E1411" s="19"/>
      <c r="F1411" s="20"/>
      <c r="G1411" s="194"/>
      <c r="H1411" s="8"/>
      <c r="I1411" s="347"/>
    </row>
    <row r="1412" spans="1:9" s="7" customFormat="1">
      <c r="A1412" s="37"/>
      <c r="B1412" s="25"/>
      <c r="C1412" s="18"/>
      <c r="D1412" s="38"/>
      <c r="E1412" s="19"/>
      <c r="F1412" s="20"/>
      <c r="G1412" s="194"/>
      <c r="H1412" s="8"/>
      <c r="I1412" s="347"/>
    </row>
    <row r="1413" spans="1:9" s="7" customFormat="1">
      <c r="A1413" s="42"/>
      <c r="B1413" s="16" t="s">
        <v>113</v>
      </c>
      <c r="C1413" s="13"/>
      <c r="D1413" s="93"/>
      <c r="E1413" s="19"/>
      <c r="F1413" s="20"/>
      <c r="G1413" s="194"/>
      <c r="H1413" s="8"/>
      <c r="I1413" s="347"/>
    </row>
    <row r="1414" spans="1:9" s="7" customFormat="1">
      <c r="A1414" s="42"/>
      <c r="B1414" s="25" t="s">
        <v>134</v>
      </c>
      <c r="C1414" s="13"/>
      <c r="D1414" s="93"/>
      <c r="E1414" s="19"/>
      <c r="F1414" s="20"/>
      <c r="G1414" s="194"/>
      <c r="H1414" s="8"/>
      <c r="I1414" s="347"/>
    </row>
    <row r="1415" spans="1:9" s="7" customFormat="1">
      <c r="A1415" s="44"/>
      <c r="B1415" s="16" t="s">
        <v>133</v>
      </c>
      <c r="C1415" s="13" t="s">
        <v>32</v>
      </c>
      <c r="D1415" s="93">
        <v>1</v>
      </c>
      <c r="E1415" s="16"/>
      <c r="F1415" s="20">
        <f>SUM(D1415*E1415)</f>
        <v>0</v>
      </c>
      <c r="G1415" s="193"/>
      <c r="H1415" s="8"/>
      <c r="I1415" s="347"/>
    </row>
    <row r="1416" spans="1:9" s="7" customFormat="1">
      <c r="A1416" s="94"/>
      <c r="B1416" s="95"/>
      <c r="C1416" s="13"/>
      <c r="D1416" s="15"/>
      <c r="E1416" s="19"/>
      <c r="F1416" s="31"/>
      <c r="G1416" s="194"/>
      <c r="H1416" s="8"/>
      <c r="I1416" s="347"/>
    </row>
    <row r="1417" spans="1:9" s="7" customFormat="1" ht="63.75">
      <c r="A1417" s="44" t="s">
        <v>200</v>
      </c>
      <c r="B1417" s="16" t="s">
        <v>213</v>
      </c>
      <c r="C1417" s="22"/>
      <c r="D1417" s="22"/>
      <c r="E1417" s="19"/>
      <c r="F1417" s="63"/>
      <c r="G1417" s="194"/>
      <c r="H1417" s="8"/>
      <c r="I1417" s="347"/>
    </row>
    <row r="1418" spans="1:9" s="7" customFormat="1" ht="38.25">
      <c r="A1418" s="44"/>
      <c r="B1418" s="16" t="s">
        <v>186</v>
      </c>
      <c r="C1418" s="22"/>
      <c r="D1418" s="22"/>
      <c r="E1418" s="19"/>
      <c r="F1418" s="63"/>
      <c r="G1418" s="194"/>
      <c r="H1418" s="8"/>
      <c r="I1418" s="347"/>
    </row>
    <row r="1419" spans="1:9" s="7" customFormat="1">
      <c r="A1419" s="32"/>
      <c r="B1419" s="10" t="s">
        <v>5</v>
      </c>
      <c r="C1419" s="22"/>
      <c r="D1419" s="22"/>
      <c r="E1419" s="19"/>
      <c r="F1419" s="63"/>
      <c r="G1419" s="194"/>
      <c r="H1419" s="8"/>
      <c r="I1419" s="347"/>
    </row>
    <row r="1420" spans="1:9" s="7" customFormat="1">
      <c r="A1420" s="32"/>
      <c r="B1420" s="10"/>
      <c r="C1420" s="22"/>
      <c r="D1420" s="22"/>
      <c r="E1420" s="19"/>
      <c r="F1420" s="63"/>
      <c r="G1420" s="194"/>
      <c r="H1420" s="8"/>
      <c r="I1420" s="347"/>
    </row>
    <row r="1421" spans="1:9" s="7" customFormat="1">
      <c r="A1421" s="32"/>
      <c r="B1421" s="16" t="s">
        <v>920</v>
      </c>
      <c r="C1421" s="22"/>
      <c r="D1421" s="22"/>
      <c r="E1421" s="19"/>
      <c r="F1421" s="63"/>
      <c r="G1421" s="194"/>
      <c r="H1421" s="8"/>
      <c r="I1421" s="347"/>
    </row>
    <row r="1422" spans="1:9" s="7" customFormat="1">
      <c r="A1422" s="198"/>
      <c r="B1422" s="215" t="s">
        <v>159</v>
      </c>
      <c r="C1422" s="202" t="s">
        <v>32</v>
      </c>
      <c r="D1422" s="350">
        <v>1</v>
      </c>
      <c r="E1422" s="215"/>
      <c r="F1422" s="212">
        <f>E1422*D1422</f>
        <v>0</v>
      </c>
      <c r="G1422" s="193"/>
      <c r="H1422" s="8"/>
      <c r="I1422" s="347"/>
    </row>
    <row r="1423" spans="1:9" s="7" customFormat="1">
      <c r="A1423" s="32"/>
      <c r="B1423" s="10"/>
      <c r="C1423" s="24"/>
      <c r="D1423" s="143"/>
      <c r="E1423" s="19"/>
      <c r="F1423" s="30"/>
      <c r="G1423" s="194"/>
      <c r="H1423" s="8"/>
      <c r="I1423" s="347"/>
    </row>
    <row r="1424" spans="1:9" s="7" customFormat="1" ht="38.25">
      <c r="A1424" s="44" t="s">
        <v>201</v>
      </c>
      <c r="B1424" s="25" t="s">
        <v>806</v>
      </c>
      <c r="C1424" s="18"/>
      <c r="D1424" s="33"/>
      <c r="E1424" s="19"/>
      <c r="F1424" s="30"/>
      <c r="G1424" s="194"/>
      <c r="H1424" s="8"/>
      <c r="I1424" s="347"/>
    </row>
    <row r="1425" spans="1:9" s="7" customFormat="1" ht="38.25">
      <c r="A1425" s="94"/>
      <c r="B1425" s="25" t="s">
        <v>214</v>
      </c>
      <c r="C1425" s="18"/>
      <c r="D1425" s="33"/>
      <c r="E1425" s="19"/>
      <c r="F1425" s="30"/>
      <c r="G1425" s="194"/>
      <c r="H1425" s="8"/>
      <c r="I1425" s="347"/>
    </row>
    <row r="1426" spans="1:9" s="7" customFormat="1" ht="51">
      <c r="A1426" s="94"/>
      <c r="B1426" s="25" t="s">
        <v>262</v>
      </c>
      <c r="C1426" s="18"/>
      <c r="D1426" s="33"/>
      <c r="E1426" s="19"/>
      <c r="F1426" s="30"/>
      <c r="G1426" s="194"/>
      <c r="H1426" s="8"/>
      <c r="I1426" s="347"/>
    </row>
    <row r="1427" spans="1:9" s="7" customFormat="1">
      <c r="A1427" s="94"/>
      <c r="B1427" s="34" t="s">
        <v>101</v>
      </c>
      <c r="C1427" s="18"/>
      <c r="D1427" s="33"/>
      <c r="E1427" s="19"/>
      <c r="F1427" s="30"/>
      <c r="G1427" s="194"/>
      <c r="H1427" s="8"/>
      <c r="I1427" s="347"/>
    </row>
    <row r="1428" spans="1:9" s="7" customFormat="1">
      <c r="A1428" s="94"/>
      <c r="B1428" s="34"/>
      <c r="C1428" s="18"/>
      <c r="D1428" s="33"/>
      <c r="E1428" s="19"/>
      <c r="F1428" s="30"/>
      <c r="G1428" s="194"/>
      <c r="H1428" s="8"/>
      <c r="I1428" s="347"/>
    </row>
    <row r="1429" spans="1:9" s="7" customFormat="1">
      <c r="A1429" s="94"/>
      <c r="B1429" s="16" t="s">
        <v>753</v>
      </c>
      <c r="C1429" s="13"/>
      <c r="D1429" s="33"/>
      <c r="E1429" s="19"/>
      <c r="F1429" s="30"/>
      <c r="G1429" s="194"/>
      <c r="H1429" s="8"/>
      <c r="I1429" s="347"/>
    </row>
    <row r="1430" spans="1:9" s="7" customFormat="1">
      <c r="A1430" s="94"/>
      <c r="B1430" s="16" t="s">
        <v>160</v>
      </c>
      <c r="C1430" s="13" t="s">
        <v>32</v>
      </c>
      <c r="D1430" s="33">
        <v>1</v>
      </c>
      <c r="E1430" s="10"/>
      <c r="F1430" s="30">
        <f>+D1430*E1430</f>
        <v>0</v>
      </c>
      <c r="G1430" s="193"/>
      <c r="H1430" s="8"/>
      <c r="I1430" s="347"/>
    </row>
    <row r="1431" spans="1:9" s="7" customFormat="1">
      <c r="A1431" s="94"/>
      <c r="B1431" s="95"/>
      <c r="C1431" s="13"/>
      <c r="D1431" s="15"/>
      <c r="E1431" s="19"/>
      <c r="F1431" s="31"/>
      <c r="G1431" s="194"/>
      <c r="H1431" s="8"/>
      <c r="I1431" s="347"/>
    </row>
    <row r="1432" spans="1:9" s="7" customFormat="1" ht="38.25">
      <c r="A1432" s="44" t="s">
        <v>202</v>
      </c>
      <c r="B1432" s="34" t="s">
        <v>1199</v>
      </c>
      <c r="C1432" s="13"/>
      <c r="D1432" s="15"/>
      <c r="E1432" s="19"/>
      <c r="F1432" s="31"/>
      <c r="G1432" s="194"/>
      <c r="H1432" s="8"/>
      <c r="I1432" s="347"/>
    </row>
    <row r="1433" spans="1:9" s="7" customFormat="1" ht="63.75">
      <c r="A1433" s="94"/>
      <c r="B1433" s="95" t="s">
        <v>1200</v>
      </c>
      <c r="C1433" s="13"/>
      <c r="D1433" s="15"/>
      <c r="E1433" s="19"/>
      <c r="F1433" s="31"/>
      <c r="G1433" s="194"/>
      <c r="H1433" s="8"/>
      <c r="I1433" s="347"/>
    </row>
    <row r="1434" spans="1:9" s="7" customFormat="1" ht="25.5">
      <c r="A1434" s="94"/>
      <c r="B1434" s="95" t="s">
        <v>921</v>
      </c>
      <c r="C1434" s="13"/>
      <c r="D1434" s="15"/>
      <c r="E1434" s="19"/>
      <c r="F1434" s="31"/>
      <c r="G1434" s="194"/>
      <c r="H1434" s="8"/>
      <c r="I1434" s="347"/>
    </row>
    <row r="1435" spans="1:9" s="7" customFormat="1" ht="38.25">
      <c r="A1435" s="94"/>
      <c r="B1435" s="95" t="s">
        <v>922</v>
      </c>
      <c r="C1435" s="13"/>
      <c r="D1435" s="15"/>
      <c r="E1435" s="19"/>
      <c r="F1435" s="31"/>
      <c r="G1435" s="194"/>
      <c r="H1435" s="8"/>
      <c r="I1435" s="347"/>
    </row>
    <row r="1436" spans="1:9" s="7" customFormat="1">
      <c r="A1436" s="94"/>
      <c r="B1436" s="34" t="s">
        <v>101</v>
      </c>
      <c r="C1436" s="18"/>
      <c r="D1436" s="33"/>
      <c r="E1436" s="19"/>
      <c r="F1436" s="30"/>
      <c r="G1436" s="194"/>
      <c r="H1436" s="8"/>
      <c r="I1436" s="347"/>
    </row>
    <row r="1437" spans="1:9" s="7" customFormat="1">
      <c r="A1437" s="94"/>
      <c r="B1437" s="34"/>
      <c r="C1437" s="18"/>
      <c r="D1437" s="33"/>
      <c r="E1437" s="19"/>
      <c r="F1437" s="30"/>
      <c r="G1437" s="194"/>
      <c r="H1437" s="8"/>
      <c r="I1437" s="347"/>
    </row>
    <row r="1438" spans="1:9" s="7" customFormat="1">
      <c r="A1438" s="94"/>
      <c r="B1438" s="16" t="s">
        <v>1197</v>
      </c>
      <c r="C1438" s="13"/>
      <c r="D1438" s="33"/>
      <c r="E1438" s="19"/>
      <c r="F1438" s="30"/>
      <c r="G1438" s="194"/>
      <c r="H1438" s="8"/>
      <c r="I1438" s="347"/>
    </row>
    <row r="1439" spans="1:9" s="7" customFormat="1">
      <c r="A1439" s="94"/>
      <c r="B1439" s="16" t="s">
        <v>1198</v>
      </c>
      <c r="C1439" s="13" t="s">
        <v>32</v>
      </c>
      <c r="D1439" s="33">
        <v>1</v>
      </c>
      <c r="E1439" s="10"/>
      <c r="F1439" s="30">
        <f>+D1439*E1439</f>
        <v>0</v>
      </c>
      <c r="G1439" s="193"/>
      <c r="H1439" s="8"/>
      <c r="I1439" s="347"/>
    </row>
    <row r="1440" spans="1:9" s="7" customFormat="1">
      <c r="A1440" s="94"/>
      <c r="B1440" s="95"/>
      <c r="C1440" s="13"/>
      <c r="D1440" s="15"/>
      <c r="E1440" s="19"/>
      <c r="F1440" s="31"/>
      <c r="G1440" s="194"/>
      <c r="H1440" s="8"/>
      <c r="I1440" s="347"/>
    </row>
    <row r="1441" spans="1:9" s="7" customFormat="1" ht="15">
      <c r="A1441" s="94"/>
      <c r="B1441" s="96" t="s">
        <v>931</v>
      </c>
      <c r="C1441" s="13"/>
      <c r="D1441" s="15"/>
      <c r="E1441" s="19"/>
      <c r="F1441" s="31"/>
      <c r="G1441" s="194"/>
      <c r="H1441" s="8"/>
      <c r="I1441" s="347"/>
    </row>
    <row r="1442" spans="1:9" s="7" customFormat="1" ht="51">
      <c r="A1442" s="44" t="s">
        <v>203</v>
      </c>
      <c r="B1442" s="34" t="s">
        <v>932</v>
      </c>
      <c r="C1442" s="13"/>
      <c r="D1442" s="15"/>
      <c r="E1442" s="19"/>
      <c r="F1442" s="31"/>
      <c r="G1442" s="194"/>
      <c r="H1442" s="8"/>
      <c r="I1442" s="347"/>
    </row>
    <row r="1443" spans="1:9" s="7" customFormat="1" ht="127.5">
      <c r="A1443" s="282"/>
      <c r="B1443" s="351" t="s">
        <v>588</v>
      </c>
      <c r="C1443" s="221"/>
      <c r="D1443" s="336"/>
      <c r="E1443" s="210"/>
      <c r="F1443" s="211"/>
      <c r="G1443" s="194"/>
      <c r="H1443" s="8"/>
      <c r="I1443" s="347"/>
    </row>
    <row r="1444" spans="1:9" s="7" customFormat="1">
      <c r="A1444" s="94"/>
      <c r="B1444" s="95"/>
      <c r="C1444" s="13"/>
      <c r="D1444" s="15"/>
      <c r="E1444" s="19"/>
      <c r="F1444" s="31"/>
      <c r="G1444" s="194"/>
      <c r="H1444" s="8"/>
      <c r="I1444" s="347"/>
    </row>
    <row r="1445" spans="1:9" s="7" customFormat="1" ht="76.5">
      <c r="A1445" s="94"/>
      <c r="B1445" s="95" t="s">
        <v>585</v>
      </c>
      <c r="C1445" s="13"/>
      <c r="D1445" s="15"/>
      <c r="E1445" s="19"/>
      <c r="F1445" s="31"/>
      <c r="G1445" s="194"/>
      <c r="H1445" s="8"/>
      <c r="I1445" s="347"/>
    </row>
    <row r="1446" spans="1:9" s="7" customFormat="1" ht="63.75">
      <c r="A1446" s="94"/>
      <c r="B1446" s="95" t="s">
        <v>586</v>
      </c>
      <c r="C1446" s="13"/>
      <c r="D1446" s="15"/>
      <c r="E1446" s="19"/>
      <c r="F1446" s="31"/>
      <c r="G1446" s="194"/>
      <c r="H1446" s="8"/>
      <c r="I1446" s="347"/>
    </row>
    <row r="1447" spans="1:9" s="7" customFormat="1" ht="63.75">
      <c r="A1447" s="94"/>
      <c r="B1447" s="34" t="s">
        <v>272</v>
      </c>
      <c r="C1447" s="13"/>
      <c r="D1447" s="15"/>
      <c r="E1447" s="19"/>
      <c r="F1447" s="31"/>
      <c r="G1447" s="194"/>
      <c r="H1447" s="8"/>
      <c r="I1447" s="347"/>
    </row>
    <row r="1448" spans="1:9" s="7" customFormat="1" ht="25.5">
      <c r="A1448" s="94"/>
      <c r="B1448" s="17" t="s">
        <v>135</v>
      </c>
      <c r="C1448" s="13"/>
      <c r="D1448" s="15"/>
      <c r="E1448" s="19"/>
      <c r="F1448" s="31"/>
      <c r="G1448" s="194"/>
      <c r="H1448" s="8"/>
      <c r="I1448" s="347"/>
    </row>
    <row r="1449" spans="1:9" s="7" customFormat="1">
      <c r="A1449" s="94"/>
      <c r="B1449" s="95"/>
      <c r="C1449" s="13"/>
      <c r="D1449" s="15"/>
      <c r="E1449" s="19"/>
      <c r="F1449" s="31"/>
      <c r="G1449" s="194"/>
      <c r="H1449" s="8"/>
      <c r="I1449" s="347"/>
    </row>
    <row r="1450" spans="1:9" s="7" customFormat="1" ht="38.25">
      <c r="A1450" s="94"/>
      <c r="B1450" s="16" t="s">
        <v>933</v>
      </c>
      <c r="C1450" s="13"/>
      <c r="D1450" s="16"/>
      <c r="E1450" s="19"/>
      <c r="F1450" s="20"/>
      <c r="G1450" s="194"/>
      <c r="H1450" s="8"/>
      <c r="I1450" s="347"/>
    </row>
    <row r="1451" spans="1:9" s="7" customFormat="1">
      <c r="A1451" s="94"/>
      <c r="B1451" s="95" t="s">
        <v>1175</v>
      </c>
      <c r="C1451" s="13" t="s">
        <v>39</v>
      </c>
      <c r="D1451" s="97">
        <f>2.75*3</f>
        <v>8.25</v>
      </c>
      <c r="E1451" s="16"/>
      <c r="F1451" s="31">
        <f>SUM(D1451*E1451)</f>
        <v>0</v>
      </c>
      <c r="G1451" s="193"/>
      <c r="H1451" s="8"/>
      <c r="I1451" s="347"/>
    </row>
    <row r="1452" spans="1:9" s="7" customFormat="1">
      <c r="A1452" s="94"/>
      <c r="B1452" s="95"/>
      <c r="C1452" s="13"/>
      <c r="D1452" s="15"/>
      <c r="E1452" s="19"/>
      <c r="F1452" s="31"/>
      <c r="G1452" s="194"/>
      <c r="H1452" s="8"/>
      <c r="I1452" s="347"/>
    </row>
    <row r="1453" spans="1:9" s="7" customFormat="1" ht="38.25">
      <c r="A1453" s="94"/>
      <c r="B1453" s="16" t="s">
        <v>934</v>
      </c>
      <c r="C1453" s="13"/>
      <c r="D1453" s="16"/>
      <c r="E1453" s="19"/>
      <c r="F1453" s="20"/>
      <c r="G1453" s="194"/>
      <c r="H1453" s="8"/>
      <c r="I1453" s="347"/>
    </row>
    <row r="1454" spans="1:9" s="7" customFormat="1">
      <c r="A1454" s="94"/>
      <c r="B1454" s="95" t="s">
        <v>935</v>
      </c>
      <c r="C1454" s="13" t="s">
        <v>39</v>
      </c>
      <c r="D1454" s="97">
        <f>1.4*4</f>
        <v>5.6</v>
      </c>
      <c r="E1454" s="16"/>
      <c r="F1454" s="31">
        <f>SUM(D1454*E1454)</f>
        <v>0</v>
      </c>
      <c r="G1454" s="193"/>
      <c r="H1454" s="8"/>
      <c r="I1454" s="347"/>
    </row>
    <row r="1455" spans="1:9" s="7" customFormat="1">
      <c r="A1455" s="94"/>
      <c r="B1455" s="95"/>
      <c r="C1455" s="13"/>
      <c r="D1455" s="15"/>
      <c r="E1455" s="19"/>
      <c r="F1455" s="31"/>
      <c r="G1455" s="194"/>
      <c r="H1455" s="8"/>
      <c r="I1455" s="347"/>
    </row>
    <row r="1456" spans="1:9" s="7" customFormat="1" ht="15">
      <c r="A1456" s="42"/>
      <c r="B1456" s="146" t="s">
        <v>587</v>
      </c>
      <c r="C1456" s="13"/>
      <c r="D1456" s="97"/>
      <c r="E1456" s="19"/>
      <c r="F1456" s="31"/>
      <c r="G1456" s="194"/>
      <c r="H1456" s="8"/>
      <c r="I1456" s="347"/>
    </row>
    <row r="1457" spans="1:9" s="7" customFormat="1" ht="63.75">
      <c r="A1457" s="44" t="s">
        <v>204</v>
      </c>
      <c r="B1457" s="25" t="s">
        <v>803</v>
      </c>
      <c r="C1457" s="13"/>
      <c r="D1457" s="97"/>
      <c r="E1457" s="19"/>
      <c r="F1457" s="31"/>
      <c r="G1457" s="194"/>
      <c r="H1457" s="8"/>
      <c r="I1457" s="347"/>
    </row>
    <row r="1458" spans="1:9" s="7" customFormat="1" ht="127.5">
      <c r="A1458" s="94"/>
      <c r="B1458" s="95" t="s">
        <v>588</v>
      </c>
      <c r="C1458" s="13"/>
      <c r="D1458" s="97"/>
      <c r="E1458" s="19"/>
      <c r="F1458" s="31"/>
      <c r="G1458" s="194"/>
      <c r="H1458" s="8"/>
      <c r="I1458" s="347"/>
    </row>
    <row r="1459" spans="1:9" s="7" customFormat="1" ht="76.5">
      <c r="A1459" s="282"/>
      <c r="B1459" s="349" t="s">
        <v>589</v>
      </c>
      <c r="C1459" s="221"/>
      <c r="D1459" s="352"/>
      <c r="E1459" s="210"/>
      <c r="F1459" s="211"/>
      <c r="G1459" s="194"/>
      <c r="H1459" s="8"/>
      <c r="I1459" s="347"/>
    </row>
    <row r="1460" spans="1:9" s="7" customFormat="1">
      <c r="A1460" s="94"/>
      <c r="B1460" s="34"/>
      <c r="C1460" s="13"/>
      <c r="D1460" s="97"/>
      <c r="E1460" s="19"/>
      <c r="F1460" s="31"/>
      <c r="G1460" s="194"/>
      <c r="H1460" s="8"/>
      <c r="I1460" s="347"/>
    </row>
    <row r="1461" spans="1:9" s="7" customFormat="1" ht="63.75">
      <c r="A1461" s="94"/>
      <c r="B1461" s="95" t="s">
        <v>586</v>
      </c>
      <c r="C1461" s="13"/>
      <c r="D1461" s="97"/>
      <c r="E1461" s="19"/>
      <c r="F1461" s="31"/>
      <c r="G1461" s="194"/>
      <c r="H1461" s="8"/>
      <c r="I1461" s="347"/>
    </row>
    <row r="1462" spans="1:9" s="7" customFormat="1" ht="63.75">
      <c r="A1462" s="94"/>
      <c r="B1462" s="34" t="s">
        <v>272</v>
      </c>
      <c r="C1462" s="13"/>
      <c r="D1462" s="97"/>
      <c r="E1462" s="19"/>
      <c r="F1462" s="31"/>
      <c r="G1462" s="194"/>
      <c r="H1462" s="8"/>
      <c r="I1462" s="347"/>
    </row>
    <row r="1463" spans="1:9" s="7" customFormat="1" ht="25.5">
      <c r="A1463" s="94"/>
      <c r="B1463" s="17" t="s">
        <v>135</v>
      </c>
      <c r="C1463" s="13"/>
      <c r="D1463" s="97"/>
      <c r="E1463" s="19"/>
      <c r="F1463" s="31"/>
      <c r="G1463" s="194"/>
      <c r="H1463" s="8"/>
      <c r="I1463" s="347"/>
    </row>
    <row r="1464" spans="1:9" s="7" customFormat="1">
      <c r="A1464" s="94"/>
      <c r="B1464" s="17"/>
      <c r="C1464" s="13"/>
      <c r="D1464" s="97"/>
      <c r="E1464" s="19"/>
      <c r="F1464" s="31"/>
      <c r="G1464" s="194"/>
      <c r="H1464" s="8"/>
      <c r="I1464" s="347"/>
    </row>
    <row r="1465" spans="1:9" s="7" customFormat="1" ht="25.5">
      <c r="A1465" s="94"/>
      <c r="B1465" s="16" t="s">
        <v>590</v>
      </c>
      <c r="C1465" s="13"/>
      <c r="D1465" s="16"/>
      <c r="E1465" s="19"/>
      <c r="F1465" s="20"/>
      <c r="G1465" s="194"/>
      <c r="H1465" s="8"/>
      <c r="I1465" s="347"/>
    </row>
    <row r="1466" spans="1:9" s="7" customFormat="1">
      <c r="A1466" s="94"/>
      <c r="B1466" s="21" t="s">
        <v>936</v>
      </c>
      <c r="C1466" s="13" t="s">
        <v>39</v>
      </c>
      <c r="D1466" s="97">
        <f>(1.35*2+2.9)*19</f>
        <v>106.39999999999999</v>
      </c>
      <c r="E1466" s="16"/>
      <c r="F1466" s="31">
        <f>SUM(D1466*E1466)</f>
        <v>0</v>
      </c>
      <c r="G1466" s="193"/>
      <c r="H1466" s="8"/>
      <c r="I1466" s="347"/>
    </row>
    <row r="1467" spans="1:9" s="7" customFormat="1">
      <c r="A1467" s="94"/>
      <c r="B1467" s="95"/>
      <c r="C1467" s="13"/>
      <c r="D1467" s="97"/>
      <c r="E1467" s="19"/>
      <c r="F1467" s="31"/>
      <c r="G1467" s="194"/>
      <c r="H1467" s="8"/>
      <c r="I1467" s="347"/>
    </row>
    <row r="1468" spans="1:9" s="7" customFormat="1" ht="25.5">
      <c r="A1468" s="94"/>
      <c r="B1468" s="16" t="s">
        <v>937</v>
      </c>
      <c r="C1468" s="13"/>
      <c r="D1468" s="16"/>
      <c r="E1468" s="19"/>
      <c r="F1468" s="20"/>
      <c r="G1468" s="194"/>
      <c r="H1468" s="8"/>
      <c r="I1468" s="347"/>
    </row>
    <row r="1469" spans="1:9" s="7" customFormat="1">
      <c r="A1469" s="94"/>
      <c r="B1469" s="21" t="s">
        <v>938</v>
      </c>
      <c r="C1469" s="13" t="s">
        <v>39</v>
      </c>
      <c r="D1469" s="97">
        <f>2.73*5</f>
        <v>13.65</v>
      </c>
      <c r="E1469" s="16"/>
      <c r="F1469" s="31">
        <f>SUM(D1469*E1469)</f>
        <v>0</v>
      </c>
      <c r="G1469" s="193"/>
      <c r="H1469" s="8"/>
      <c r="I1469" s="347"/>
    </row>
    <row r="1470" spans="1:9" s="7" customFormat="1">
      <c r="A1470" s="94"/>
      <c r="B1470" s="95"/>
      <c r="C1470" s="13"/>
      <c r="D1470" s="97"/>
      <c r="E1470" s="19"/>
      <c r="F1470" s="31"/>
      <c r="G1470" s="194"/>
      <c r="H1470" s="8"/>
      <c r="I1470" s="347"/>
    </row>
    <row r="1471" spans="1:9" s="7" customFormat="1" ht="25.5">
      <c r="A1471" s="94"/>
      <c r="B1471" s="16" t="s">
        <v>939</v>
      </c>
      <c r="C1471" s="13"/>
      <c r="D1471" s="16"/>
      <c r="E1471" s="19"/>
      <c r="F1471" s="20"/>
      <c r="G1471" s="194"/>
      <c r="H1471" s="8"/>
      <c r="I1471" s="347"/>
    </row>
    <row r="1472" spans="1:9" s="7" customFormat="1">
      <c r="A1472" s="94"/>
      <c r="B1472" s="21" t="s">
        <v>940</v>
      </c>
      <c r="C1472" s="13" t="s">
        <v>39</v>
      </c>
      <c r="D1472" s="97">
        <f>(1.35*2+2.6)*5</f>
        <v>26.500000000000004</v>
      </c>
      <c r="E1472" s="16"/>
      <c r="F1472" s="31">
        <f>SUM(D1472*E1472)</f>
        <v>0</v>
      </c>
      <c r="G1472" s="193"/>
      <c r="H1472" s="8"/>
      <c r="I1472" s="347"/>
    </row>
    <row r="1473" spans="1:9" s="7" customFormat="1">
      <c r="A1473" s="94"/>
      <c r="B1473" s="95"/>
      <c r="C1473" s="13"/>
      <c r="D1473" s="97"/>
      <c r="E1473" s="19"/>
      <c r="F1473" s="31"/>
      <c r="G1473" s="194"/>
      <c r="H1473" s="8"/>
      <c r="I1473" s="347"/>
    </row>
    <row r="1474" spans="1:9" s="7" customFormat="1" ht="25.5">
      <c r="A1474" s="94"/>
      <c r="B1474" s="16" t="s">
        <v>941</v>
      </c>
      <c r="C1474" s="13"/>
      <c r="D1474" s="16"/>
      <c r="E1474" s="19"/>
      <c r="F1474" s="20"/>
      <c r="G1474" s="194"/>
      <c r="H1474" s="8"/>
      <c r="I1474" s="347"/>
    </row>
    <row r="1475" spans="1:9" s="7" customFormat="1">
      <c r="A1475" s="94"/>
      <c r="B1475" s="21" t="s">
        <v>942</v>
      </c>
      <c r="C1475" s="13" t="s">
        <v>39</v>
      </c>
      <c r="D1475" s="97">
        <f>2.43*5</f>
        <v>12.15</v>
      </c>
      <c r="E1475" s="16"/>
      <c r="F1475" s="31">
        <f>SUM(D1475*E1475)</f>
        <v>0</v>
      </c>
      <c r="G1475" s="193"/>
      <c r="H1475" s="8"/>
      <c r="I1475" s="347"/>
    </row>
    <row r="1476" spans="1:9" s="7" customFormat="1">
      <c r="A1476" s="94"/>
      <c r="B1476" s="21"/>
      <c r="C1476" s="13"/>
      <c r="D1476" s="97"/>
      <c r="E1476" s="16"/>
      <c r="F1476" s="31"/>
      <c r="G1476" s="194"/>
      <c r="H1476" s="8"/>
      <c r="I1476" s="347"/>
    </row>
    <row r="1477" spans="1:9" s="7" customFormat="1" ht="25.5">
      <c r="A1477" s="94"/>
      <c r="B1477" s="16" t="s">
        <v>943</v>
      </c>
      <c r="C1477" s="13"/>
      <c r="D1477" s="16"/>
      <c r="E1477" s="19"/>
      <c r="F1477" s="20"/>
      <c r="G1477" s="194"/>
      <c r="H1477" s="8"/>
      <c r="I1477" s="347"/>
    </row>
    <row r="1478" spans="1:9" s="7" customFormat="1">
      <c r="A1478" s="94"/>
      <c r="B1478" s="21" t="s">
        <v>944</v>
      </c>
      <c r="C1478" s="13" t="s">
        <v>39</v>
      </c>
      <c r="D1478" s="97">
        <f>1.43*5</f>
        <v>7.1499999999999995</v>
      </c>
      <c r="E1478" s="16"/>
      <c r="F1478" s="31">
        <f>SUM(D1478*E1478)</f>
        <v>0</v>
      </c>
      <c r="G1478" s="193"/>
      <c r="H1478" s="8"/>
      <c r="I1478" s="347"/>
    </row>
    <row r="1479" spans="1:9" s="7" customFormat="1">
      <c r="A1479" s="94"/>
      <c r="B1479" s="95"/>
      <c r="C1479" s="13"/>
      <c r="D1479" s="97"/>
      <c r="E1479" s="19"/>
      <c r="F1479" s="31"/>
      <c r="G1479" s="194"/>
      <c r="H1479" s="8"/>
      <c r="I1479" s="347"/>
    </row>
    <row r="1480" spans="1:9" s="7" customFormat="1" ht="15">
      <c r="A1480" s="94"/>
      <c r="B1480" s="146" t="s">
        <v>945</v>
      </c>
      <c r="C1480" s="13"/>
      <c r="D1480" s="97"/>
      <c r="E1480" s="19"/>
      <c r="F1480" s="31"/>
      <c r="G1480" s="194"/>
      <c r="H1480" s="8"/>
      <c r="I1480" s="347"/>
    </row>
    <row r="1481" spans="1:9" s="7" customFormat="1" ht="63.75">
      <c r="A1481" s="44" t="s">
        <v>205</v>
      </c>
      <c r="B1481" s="25" t="s">
        <v>1194</v>
      </c>
      <c r="C1481" s="13"/>
      <c r="D1481" s="97"/>
      <c r="E1481" s="19"/>
      <c r="F1481" s="31"/>
      <c r="G1481" s="194"/>
      <c r="H1481" s="8"/>
      <c r="I1481" s="347"/>
    </row>
    <row r="1482" spans="1:9" s="7" customFormat="1" ht="127.5">
      <c r="A1482" s="282"/>
      <c r="B1482" s="351" t="s">
        <v>588</v>
      </c>
      <c r="C1482" s="221"/>
      <c r="D1482" s="352"/>
      <c r="E1482" s="210"/>
      <c r="F1482" s="211"/>
      <c r="G1482" s="194"/>
      <c r="H1482" s="8"/>
      <c r="I1482" s="347"/>
    </row>
    <row r="1483" spans="1:9" s="7" customFormat="1">
      <c r="A1483" s="94"/>
      <c r="B1483" s="95"/>
      <c r="C1483" s="13"/>
      <c r="D1483" s="97"/>
      <c r="E1483" s="19"/>
      <c r="F1483" s="31"/>
      <c r="G1483" s="194"/>
      <c r="H1483" s="8"/>
      <c r="I1483" s="347"/>
    </row>
    <row r="1484" spans="1:9" s="7" customFormat="1" ht="76.5">
      <c r="A1484" s="94"/>
      <c r="B1484" s="95" t="s">
        <v>1195</v>
      </c>
      <c r="C1484" s="13"/>
      <c r="D1484" s="97"/>
      <c r="E1484" s="19"/>
      <c r="F1484" s="31"/>
      <c r="G1484" s="194"/>
      <c r="H1484" s="8"/>
      <c r="I1484" s="347"/>
    </row>
    <row r="1485" spans="1:9" s="7" customFormat="1" ht="63.75">
      <c r="A1485" s="94"/>
      <c r="B1485" s="95" t="s">
        <v>586</v>
      </c>
      <c r="C1485" s="13"/>
      <c r="D1485" s="97"/>
      <c r="E1485" s="19"/>
      <c r="F1485" s="31"/>
      <c r="G1485" s="194"/>
      <c r="H1485" s="8"/>
      <c r="I1485" s="347"/>
    </row>
    <row r="1486" spans="1:9" s="7" customFormat="1" ht="63.75">
      <c r="A1486" s="94"/>
      <c r="B1486" s="34" t="s">
        <v>272</v>
      </c>
      <c r="C1486" s="13"/>
      <c r="D1486" s="97"/>
      <c r="E1486" s="19"/>
      <c r="F1486" s="31"/>
      <c r="G1486" s="194"/>
      <c r="H1486" s="8"/>
      <c r="I1486" s="347"/>
    </row>
    <row r="1487" spans="1:9" s="7" customFormat="1" ht="25.5">
      <c r="A1487" s="94"/>
      <c r="B1487" s="17" t="s">
        <v>135</v>
      </c>
      <c r="C1487" s="13"/>
      <c r="D1487" s="97"/>
      <c r="E1487" s="19"/>
      <c r="F1487" s="31"/>
      <c r="G1487" s="194"/>
      <c r="H1487" s="8"/>
      <c r="I1487" s="347"/>
    </row>
    <row r="1488" spans="1:9" s="7" customFormat="1">
      <c r="A1488" s="94"/>
      <c r="B1488" s="95"/>
      <c r="C1488" s="13"/>
      <c r="D1488" s="97"/>
      <c r="E1488" s="19"/>
      <c r="F1488" s="31"/>
      <c r="G1488" s="194"/>
      <c r="H1488" s="8"/>
      <c r="I1488" s="347"/>
    </row>
    <row r="1489" spans="1:14" s="7" customFormat="1" ht="25.5">
      <c r="A1489" s="44"/>
      <c r="B1489" s="16" t="s">
        <v>1196</v>
      </c>
      <c r="C1489" s="13"/>
      <c r="D1489" s="97"/>
      <c r="E1489" s="19"/>
      <c r="F1489" s="31"/>
      <c r="G1489" s="194"/>
      <c r="H1489" s="8"/>
      <c r="I1489" s="347"/>
    </row>
    <row r="1490" spans="1:14" s="7" customFormat="1">
      <c r="A1490" s="94"/>
      <c r="B1490" s="21" t="s">
        <v>1193</v>
      </c>
      <c r="C1490" s="13" t="s">
        <v>39</v>
      </c>
      <c r="D1490" s="97">
        <f>(1.6+0.15*2)</f>
        <v>1.9000000000000001</v>
      </c>
      <c r="E1490" s="16"/>
      <c r="F1490" s="31">
        <f>SUM(D1490*E1490)</f>
        <v>0</v>
      </c>
      <c r="G1490" s="193"/>
      <c r="H1490" s="8"/>
      <c r="I1490" s="347"/>
    </row>
    <row r="1491" spans="1:14" s="7" customFormat="1">
      <c r="A1491" s="94"/>
      <c r="B1491" s="95"/>
      <c r="C1491" s="13"/>
      <c r="D1491" s="97"/>
      <c r="E1491" s="19"/>
      <c r="F1491" s="31"/>
      <c r="G1491" s="194"/>
      <c r="H1491" s="8"/>
      <c r="I1491" s="347"/>
    </row>
    <row r="1492" spans="1:14" s="7" customFormat="1" ht="15">
      <c r="A1492" s="42"/>
      <c r="B1492" s="98" t="s">
        <v>181</v>
      </c>
      <c r="C1492" s="13"/>
      <c r="D1492" s="97"/>
      <c r="E1492" s="19"/>
      <c r="F1492" s="31"/>
      <c r="G1492" s="194"/>
      <c r="H1492" s="8"/>
      <c r="I1492" s="347"/>
    </row>
    <row r="1493" spans="1:14" s="7" customFormat="1" ht="63.75">
      <c r="A1493" s="44" t="s">
        <v>206</v>
      </c>
      <c r="B1493" s="25" t="s">
        <v>804</v>
      </c>
      <c r="C1493" s="13"/>
      <c r="D1493" s="97"/>
      <c r="E1493" s="19"/>
      <c r="F1493" s="31"/>
      <c r="G1493" s="194"/>
      <c r="H1493" s="8"/>
      <c r="I1493" s="347"/>
    </row>
    <row r="1494" spans="1:14" s="7" customFormat="1" ht="76.5">
      <c r="A1494" s="94"/>
      <c r="B1494" s="95" t="s">
        <v>594</v>
      </c>
      <c r="C1494" s="13"/>
      <c r="D1494" s="97"/>
      <c r="E1494" s="19"/>
      <c r="F1494" s="31"/>
      <c r="G1494" s="194"/>
      <c r="H1494" s="8"/>
      <c r="I1494" s="347"/>
    </row>
    <row r="1495" spans="1:14" s="7" customFormat="1" ht="127.5">
      <c r="A1495" s="94"/>
      <c r="B1495" s="95" t="s">
        <v>588</v>
      </c>
      <c r="C1495" s="13"/>
      <c r="D1495" s="97"/>
      <c r="E1495" s="19"/>
      <c r="F1495" s="31"/>
      <c r="G1495" s="194"/>
      <c r="H1495" s="8"/>
      <c r="I1495" s="347"/>
    </row>
    <row r="1496" spans="1:14" s="7" customFormat="1" ht="51">
      <c r="A1496" s="282"/>
      <c r="B1496" s="351" t="s">
        <v>595</v>
      </c>
      <c r="C1496" s="221"/>
      <c r="D1496" s="352"/>
      <c r="E1496" s="210"/>
      <c r="F1496" s="211"/>
      <c r="G1496" s="194"/>
      <c r="H1496" s="8"/>
      <c r="I1496" s="347"/>
    </row>
    <row r="1497" spans="1:14" s="7" customFormat="1">
      <c r="A1497" s="94"/>
      <c r="B1497" s="95"/>
      <c r="C1497" s="13"/>
      <c r="D1497" s="97"/>
      <c r="E1497" s="19"/>
      <c r="F1497" s="31"/>
      <c r="G1497" s="194"/>
      <c r="H1497" s="8"/>
      <c r="I1497" s="347"/>
    </row>
    <row r="1498" spans="1:14" s="7" customFormat="1" ht="63.75">
      <c r="A1498" s="94"/>
      <c r="B1498" s="95" t="s">
        <v>586</v>
      </c>
      <c r="C1498" s="13"/>
      <c r="D1498" s="97"/>
      <c r="E1498" s="19"/>
      <c r="F1498" s="31"/>
      <c r="G1498" s="194"/>
      <c r="H1498" s="8"/>
      <c r="I1498" s="347"/>
    </row>
    <row r="1499" spans="1:14" s="7" customFormat="1" ht="25.5">
      <c r="A1499" s="94"/>
      <c r="B1499" s="34" t="s">
        <v>168</v>
      </c>
      <c r="C1499" s="13"/>
      <c r="D1499" s="97"/>
      <c r="E1499" s="19"/>
      <c r="F1499" s="31"/>
      <c r="G1499" s="194"/>
      <c r="H1499" s="8"/>
      <c r="I1499" s="347"/>
    </row>
    <row r="1500" spans="1:14" s="7" customFormat="1" ht="25.5">
      <c r="A1500" s="94"/>
      <c r="B1500" s="16" t="s">
        <v>135</v>
      </c>
      <c r="C1500" s="13"/>
      <c r="D1500" s="97"/>
      <c r="E1500" s="19"/>
      <c r="F1500" s="31"/>
      <c r="G1500" s="194"/>
      <c r="H1500" s="8"/>
      <c r="I1500" s="347"/>
    </row>
    <row r="1501" spans="1:14" s="7" customFormat="1">
      <c r="A1501" s="94"/>
      <c r="B1501" s="34"/>
      <c r="C1501" s="13"/>
      <c r="D1501" s="97"/>
      <c r="E1501" s="19"/>
      <c r="F1501" s="31"/>
      <c r="G1501" s="194"/>
      <c r="H1501" s="8"/>
      <c r="I1501" s="347"/>
    </row>
    <row r="1502" spans="1:14" s="7" customFormat="1" ht="25.5">
      <c r="A1502" s="94"/>
      <c r="B1502" s="16" t="s">
        <v>929</v>
      </c>
      <c r="C1502" s="13"/>
      <c r="D1502" s="97"/>
      <c r="E1502" s="19"/>
      <c r="F1502" s="31"/>
      <c r="G1502" s="194"/>
      <c r="H1502" s="8"/>
      <c r="I1502" s="347"/>
    </row>
    <row r="1503" spans="1:14" s="7" customFormat="1">
      <c r="A1503" s="94"/>
      <c r="B1503" s="95" t="s">
        <v>930</v>
      </c>
      <c r="C1503" s="13" t="s">
        <v>39</v>
      </c>
      <c r="D1503" s="97">
        <f>2.87*4*2+0.1*2*4+1.52</f>
        <v>25.28</v>
      </c>
      <c r="E1503" s="16"/>
      <c r="F1503" s="31">
        <f>SUM(D1503*E1503)</f>
        <v>0</v>
      </c>
      <c r="G1503" s="193"/>
      <c r="H1503" s="8"/>
      <c r="I1503" s="347"/>
    </row>
    <row r="1504" spans="1:14" s="103" customFormat="1">
      <c r="A1504" s="94"/>
      <c r="B1504" s="95"/>
      <c r="C1504" s="13"/>
      <c r="D1504" s="97"/>
      <c r="E1504" s="19"/>
      <c r="F1504" s="31"/>
      <c r="G1504" s="194"/>
      <c r="H1504" s="8"/>
      <c r="I1504" s="347"/>
      <c r="J1504" s="7"/>
      <c r="K1504" s="7"/>
      <c r="L1504" s="7"/>
      <c r="M1504" s="7"/>
      <c r="N1504" s="7"/>
    </row>
    <row r="1505" spans="1:14" s="103" customFormat="1" ht="15">
      <c r="A1505" s="94"/>
      <c r="B1505" s="146" t="s">
        <v>1221</v>
      </c>
      <c r="C1505" s="13"/>
      <c r="D1505" s="97"/>
      <c r="E1505" s="19"/>
      <c r="F1505" s="31"/>
      <c r="G1505" s="194"/>
      <c r="H1505" s="8"/>
      <c r="I1505" s="347"/>
      <c r="J1505" s="7"/>
      <c r="K1505" s="7"/>
      <c r="L1505" s="7"/>
      <c r="M1505" s="7"/>
      <c r="N1505" s="7"/>
    </row>
    <row r="1506" spans="1:14" s="103" customFormat="1" ht="25.5">
      <c r="A1506" s="44" t="s">
        <v>208</v>
      </c>
      <c r="B1506" s="25" t="s">
        <v>1222</v>
      </c>
      <c r="C1506" s="13"/>
      <c r="D1506" s="97"/>
      <c r="E1506" s="19"/>
      <c r="F1506" s="31"/>
      <c r="G1506" s="194"/>
      <c r="H1506" s="8"/>
      <c r="I1506" s="347"/>
      <c r="J1506" s="7"/>
      <c r="K1506" s="7"/>
      <c r="L1506" s="7"/>
      <c r="M1506" s="7"/>
      <c r="N1506" s="7"/>
    </row>
    <row r="1507" spans="1:14" s="103" customFormat="1" ht="140.25">
      <c r="A1507" s="94"/>
      <c r="B1507" s="95" t="s">
        <v>1223</v>
      </c>
      <c r="C1507" s="13"/>
      <c r="D1507" s="97"/>
      <c r="E1507" s="19"/>
      <c r="F1507" s="31"/>
      <c r="G1507" s="194"/>
      <c r="H1507" s="8"/>
      <c r="I1507" s="347"/>
      <c r="J1507" s="7"/>
      <c r="K1507" s="7"/>
      <c r="L1507" s="7"/>
      <c r="M1507" s="7"/>
      <c r="N1507" s="7"/>
    </row>
    <row r="1508" spans="1:14" s="103" customFormat="1" ht="76.5">
      <c r="A1508" s="94"/>
      <c r="B1508" s="95" t="s">
        <v>1224</v>
      </c>
      <c r="C1508" s="13"/>
      <c r="D1508" s="97"/>
      <c r="E1508" s="19"/>
      <c r="F1508" s="31"/>
      <c r="G1508" s="194"/>
      <c r="H1508" s="8"/>
      <c r="I1508" s="347"/>
      <c r="J1508" s="7"/>
      <c r="K1508" s="7"/>
      <c r="L1508" s="7"/>
      <c r="M1508" s="7"/>
      <c r="N1508" s="7"/>
    </row>
    <row r="1509" spans="1:14" s="103" customFormat="1" ht="63.75">
      <c r="A1509" s="94"/>
      <c r="B1509" s="95" t="s">
        <v>1225</v>
      </c>
      <c r="C1509" s="13"/>
      <c r="D1509" s="97"/>
      <c r="E1509" s="19"/>
      <c r="F1509" s="31"/>
      <c r="G1509" s="194"/>
      <c r="H1509" s="8"/>
      <c r="I1509" s="347"/>
      <c r="J1509" s="7"/>
      <c r="K1509" s="7"/>
      <c r="L1509" s="7"/>
      <c r="M1509" s="7"/>
      <c r="N1509" s="7"/>
    </row>
    <row r="1510" spans="1:14" s="103" customFormat="1" ht="38.25">
      <c r="A1510" s="94"/>
      <c r="B1510" s="34" t="s">
        <v>271</v>
      </c>
      <c r="C1510" s="13"/>
      <c r="D1510" s="97"/>
      <c r="E1510" s="19"/>
      <c r="F1510" s="31"/>
      <c r="G1510" s="194"/>
      <c r="H1510" s="8"/>
      <c r="I1510" s="347"/>
      <c r="J1510" s="7"/>
      <c r="K1510" s="7"/>
      <c r="L1510" s="7"/>
      <c r="M1510" s="7"/>
      <c r="N1510" s="7"/>
    </row>
    <row r="1511" spans="1:14" s="103" customFormat="1">
      <c r="A1511" s="94"/>
      <c r="B1511" s="34" t="s">
        <v>180</v>
      </c>
      <c r="C1511" s="13"/>
      <c r="D1511" s="97"/>
      <c r="E1511" s="19"/>
      <c r="F1511" s="31"/>
      <c r="G1511" s="194"/>
      <c r="H1511" s="8"/>
      <c r="I1511" s="347"/>
      <c r="J1511" s="7"/>
      <c r="K1511" s="7"/>
      <c r="L1511" s="7"/>
      <c r="M1511" s="7"/>
      <c r="N1511" s="7"/>
    </row>
    <row r="1512" spans="1:14" s="103" customFormat="1" ht="25.5">
      <c r="A1512" s="94"/>
      <c r="B1512" s="16" t="s">
        <v>135</v>
      </c>
      <c r="C1512" s="13"/>
      <c r="D1512" s="97"/>
      <c r="E1512" s="19"/>
      <c r="F1512" s="31"/>
      <c r="G1512" s="194"/>
      <c r="H1512" s="8"/>
      <c r="I1512" s="347"/>
      <c r="J1512" s="7"/>
      <c r="K1512" s="7"/>
      <c r="L1512" s="7"/>
      <c r="M1512" s="7"/>
      <c r="N1512" s="7"/>
    </row>
    <row r="1513" spans="1:14" s="103" customFormat="1">
      <c r="A1513" s="94"/>
      <c r="B1513" s="16"/>
      <c r="C1513" s="13"/>
      <c r="D1513" s="97"/>
      <c r="E1513" s="19"/>
      <c r="F1513" s="31"/>
      <c r="G1513" s="194"/>
      <c r="H1513" s="8"/>
      <c r="I1513" s="347"/>
      <c r="J1513" s="7"/>
      <c r="K1513" s="7"/>
      <c r="L1513" s="7"/>
      <c r="M1513" s="7"/>
      <c r="N1513" s="7"/>
    </row>
    <row r="1514" spans="1:14" s="103" customFormat="1" ht="25.5">
      <c r="A1514" s="282"/>
      <c r="B1514" s="207" t="s">
        <v>1226</v>
      </c>
      <c r="C1514" s="221" t="s">
        <v>39</v>
      </c>
      <c r="D1514" s="283">
        <v>35.369999999999997</v>
      </c>
      <c r="E1514" s="207"/>
      <c r="F1514" s="211">
        <f>SUM(D1514*E1514)</f>
        <v>0</v>
      </c>
      <c r="G1514" s="194"/>
      <c r="H1514" s="8"/>
      <c r="I1514" s="347"/>
      <c r="J1514" s="7"/>
      <c r="K1514" s="7"/>
      <c r="L1514" s="7"/>
      <c r="M1514" s="7"/>
      <c r="N1514" s="7"/>
    </row>
    <row r="1515" spans="1:14" s="103" customFormat="1">
      <c r="A1515" s="94"/>
      <c r="B1515" s="95"/>
      <c r="C1515" s="13"/>
      <c r="D1515" s="97"/>
      <c r="E1515" s="19"/>
      <c r="F1515" s="31"/>
      <c r="G1515" s="194"/>
      <c r="H1515" s="8"/>
      <c r="I1515" s="347"/>
      <c r="J1515" s="7"/>
      <c r="K1515" s="7"/>
      <c r="L1515" s="7"/>
      <c r="M1515" s="7"/>
      <c r="N1515" s="7"/>
    </row>
    <row r="1516" spans="1:14" s="103" customFormat="1" ht="15">
      <c r="A1516" s="94"/>
      <c r="B1516" s="35" t="s">
        <v>598</v>
      </c>
      <c r="C1516" s="13"/>
      <c r="D1516" s="15"/>
      <c r="E1516" s="19"/>
      <c r="F1516" s="31"/>
      <c r="G1516" s="194"/>
      <c r="H1516" s="8"/>
      <c r="I1516" s="347"/>
      <c r="J1516" s="7"/>
      <c r="K1516" s="7"/>
      <c r="L1516" s="7"/>
      <c r="M1516" s="7"/>
      <c r="N1516" s="7"/>
    </row>
    <row r="1517" spans="1:14" s="103" customFormat="1" ht="38.25">
      <c r="A1517" s="44" t="s">
        <v>600</v>
      </c>
      <c r="B1517" s="188" t="s">
        <v>805</v>
      </c>
      <c r="C1517" s="13"/>
      <c r="D1517" s="15"/>
      <c r="E1517" s="19"/>
      <c r="F1517" s="31"/>
      <c r="G1517" s="194"/>
      <c r="H1517" s="8"/>
      <c r="I1517" s="347"/>
      <c r="J1517" s="7"/>
      <c r="K1517" s="7"/>
      <c r="L1517" s="7"/>
      <c r="M1517" s="7"/>
      <c r="N1517" s="7"/>
    </row>
    <row r="1518" spans="1:14" s="103" customFormat="1" ht="63.75">
      <c r="A1518" s="94"/>
      <c r="B1518" s="321" t="s">
        <v>1173</v>
      </c>
      <c r="C1518" s="13"/>
      <c r="D1518" s="15"/>
      <c r="E1518" s="19"/>
      <c r="F1518" s="31"/>
      <c r="G1518" s="194"/>
      <c r="H1518" s="8"/>
      <c r="I1518" s="347"/>
      <c r="J1518" s="7"/>
      <c r="K1518" s="7"/>
      <c r="L1518" s="7"/>
      <c r="M1518" s="7"/>
      <c r="N1518" s="7"/>
    </row>
    <row r="1519" spans="1:14" s="103" customFormat="1" ht="38.25">
      <c r="A1519" s="94"/>
      <c r="B1519" s="321" t="s">
        <v>923</v>
      </c>
      <c r="C1519" s="13"/>
      <c r="D1519" s="15"/>
      <c r="E1519" s="19"/>
      <c r="F1519" s="31"/>
      <c r="G1519" s="194"/>
      <c r="H1519" s="8"/>
      <c r="I1519" s="347"/>
      <c r="J1519" s="7"/>
      <c r="K1519" s="7"/>
      <c r="L1519" s="7"/>
      <c r="M1519" s="7"/>
      <c r="N1519" s="7"/>
    </row>
    <row r="1520" spans="1:14" s="103" customFormat="1" ht="38.25">
      <c r="A1520" s="94"/>
      <c r="B1520" s="321" t="s">
        <v>924</v>
      </c>
      <c r="C1520" s="13"/>
      <c r="D1520" s="15"/>
      <c r="E1520" s="19"/>
      <c r="F1520" s="31"/>
      <c r="G1520" s="194"/>
      <c r="H1520" s="8"/>
      <c r="I1520" s="347"/>
      <c r="J1520" s="7"/>
      <c r="K1520" s="7"/>
      <c r="L1520" s="7"/>
      <c r="M1520" s="7"/>
      <c r="N1520" s="7"/>
    </row>
    <row r="1521" spans="1:14" s="103" customFormat="1" ht="89.25">
      <c r="A1521" s="94"/>
      <c r="B1521" s="80" t="s">
        <v>925</v>
      </c>
      <c r="C1521" s="13"/>
      <c r="D1521" s="15"/>
      <c r="E1521" s="19"/>
      <c r="F1521" s="31"/>
      <c r="G1521" s="194"/>
      <c r="H1521" s="8"/>
      <c r="I1521" s="347"/>
      <c r="J1521" s="7"/>
      <c r="K1521" s="7"/>
      <c r="L1521" s="7"/>
      <c r="M1521" s="7"/>
      <c r="N1521" s="7"/>
    </row>
    <row r="1522" spans="1:14" s="103" customFormat="1" ht="25.5">
      <c r="A1522" s="94"/>
      <c r="B1522" s="353" t="s">
        <v>596</v>
      </c>
      <c r="C1522" s="13"/>
      <c r="D1522" s="15"/>
      <c r="E1522" s="19"/>
      <c r="F1522" s="31"/>
      <c r="G1522" s="194"/>
      <c r="H1522" s="8"/>
      <c r="I1522" s="347"/>
      <c r="J1522" s="7"/>
      <c r="K1522" s="7"/>
      <c r="L1522" s="7"/>
      <c r="M1522" s="7"/>
      <c r="N1522" s="7"/>
    </row>
    <row r="1523" spans="1:14" s="103" customFormat="1" ht="25.5">
      <c r="A1523" s="94"/>
      <c r="B1523" s="354" t="s">
        <v>597</v>
      </c>
      <c r="C1523" s="13"/>
      <c r="D1523" s="15"/>
      <c r="E1523" s="19"/>
      <c r="F1523" s="31"/>
      <c r="G1523" s="194"/>
      <c r="H1523" s="8"/>
      <c r="I1523" s="347"/>
      <c r="J1523" s="7"/>
      <c r="K1523" s="7"/>
      <c r="L1523" s="7"/>
      <c r="M1523" s="7"/>
      <c r="N1523" s="7"/>
    </row>
    <row r="1524" spans="1:14" s="103" customFormat="1">
      <c r="A1524" s="94"/>
      <c r="B1524" s="34"/>
      <c r="C1524" s="13"/>
      <c r="D1524" s="15"/>
      <c r="E1524" s="19"/>
      <c r="F1524" s="31"/>
      <c r="G1524" s="194"/>
      <c r="H1524" s="8"/>
      <c r="I1524" s="347"/>
      <c r="J1524" s="7"/>
      <c r="K1524" s="7"/>
      <c r="L1524" s="7"/>
      <c r="M1524" s="7"/>
      <c r="N1524" s="7"/>
    </row>
    <row r="1525" spans="1:14" s="103" customFormat="1">
      <c r="A1525" s="94"/>
      <c r="B1525" s="92" t="s">
        <v>179</v>
      </c>
      <c r="C1525" s="18"/>
      <c r="D1525" s="18"/>
      <c r="E1525" s="19"/>
      <c r="F1525" s="20"/>
      <c r="G1525" s="194"/>
      <c r="H1525" s="8"/>
      <c r="I1525" s="347"/>
      <c r="J1525" s="7"/>
      <c r="K1525" s="7"/>
      <c r="L1525" s="7"/>
      <c r="M1525" s="7"/>
      <c r="N1525" s="7"/>
    </row>
    <row r="1526" spans="1:14">
      <c r="A1526" s="94"/>
      <c r="B1526" s="355" t="s">
        <v>599</v>
      </c>
      <c r="C1526" s="18"/>
      <c r="D1526" s="18"/>
      <c r="E1526" s="19"/>
      <c r="F1526" s="20"/>
      <c r="G1526" s="194"/>
      <c r="H1526" s="8"/>
      <c r="I1526" s="347"/>
      <c r="J1526" s="7"/>
      <c r="K1526" s="7"/>
      <c r="L1526" s="7"/>
      <c r="M1526" s="7"/>
      <c r="N1526" s="7"/>
    </row>
    <row r="1527" spans="1:14">
      <c r="A1527" s="282"/>
      <c r="B1527" s="275" t="s">
        <v>926</v>
      </c>
      <c r="C1527" s="279" t="s">
        <v>32</v>
      </c>
      <c r="D1527" s="356">
        <v>10</v>
      </c>
      <c r="E1527" s="207"/>
      <c r="F1527" s="211">
        <f>SUM(D1527*E1527)</f>
        <v>0</v>
      </c>
      <c r="G1527" s="193"/>
      <c r="H1527" s="8"/>
      <c r="I1527" s="347"/>
      <c r="J1527" s="7"/>
      <c r="K1527" s="7"/>
      <c r="L1527" s="7"/>
      <c r="M1527" s="7"/>
      <c r="N1527" s="7"/>
    </row>
    <row r="1528" spans="1:14" s="103" customFormat="1">
      <c r="A1528" s="94"/>
      <c r="B1528" s="25"/>
      <c r="C1528" s="18"/>
      <c r="D1528" s="38"/>
      <c r="E1528" s="19"/>
      <c r="F1528" s="31"/>
      <c r="G1528" s="194"/>
      <c r="H1528" s="8"/>
      <c r="I1528" s="347"/>
      <c r="J1528" s="7"/>
      <c r="K1528" s="7"/>
      <c r="L1528" s="7"/>
      <c r="M1528" s="7"/>
      <c r="N1528" s="7"/>
    </row>
    <row r="1529" spans="1:14" ht="15">
      <c r="A1529" s="43"/>
      <c r="B1529" s="35" t="s">
        <v>260</v>
      </c>
      <c r="C1529" s="18"/>
      <c r="D1529" s="18"/>
      <c r="E1529" s="19"/>
      <c r="F1529" s="20"/>
      <c r="G1529" s="194"/>
      <c r="H1529" s="8"/>
      <c r="I1529" s="347"/>
      <c r="J1529" s="7"/>
      <c r="K1529" s="7"/>
      <c r="L1529" s="7"/>
      <c r="M1529" s="7"/>
      <c r="N1529" s="7"/>
    </row>
    <row r="1530" spans="1:14" ht="89.25">
      <c r="A1530" s="44" t="s">
        <v>1277</v>
      </c>
      <c r="B1530" s="25" t="s">
        <v>1174</v>
      </c>
      <c r="C1530" s="18"/>
      <c r="D1530" s="38"/>
      <c r="E1530" s="19"/>
      <c r="F1530" s="20"/>
      <c r="G1530" s="194"/>
      <c r="H1530" s="8"/>
      <c r="I1530" s="347"/>
      <c r="J1530" s="7"/>
      <c r="K1530" s="7"/>
      <c r="L1530" s="7"/>
      <c r="M1530" s="7"/>
      <c r="N1530" s="7"/>
    </row>
    <row r="1531" spans="1:14" ht="76.5">
      <c r="A1531" s="44"/>
      <c r="B1531" s="25" t="s">
        <v>591</v>
      </c>
      <c r="C1531" s="13"/>
      <c r="D1531" s="140"/>
      <c r="E1531" s="19"/>
      <c r="F1531" s="20"/>
      <c r="G1531" s="194"/>
      <c r="H1531" s="8"/>
      <c r="I1531" s="347"/>
      <c r="J1531" s="7"/>
      <c r="K1531" s="7"/>
      <c r="L1531" s="7"/>
      <c r="M1531" s="7"/>
      <c r="N1531" s="7"/>
    </row>
    <row r="1532" spans="1:14" ht="89.25">
      <c r="A1532" s="42"/>
      <c r="B1532" s="25" t="s">
        <v>592</v>
      </c>
      <c r="C1532" s="13"/>
      <c r="D1532" s="140"/>
      <c r="E1532" s="19"/>
      <c r="F1532" s="20"/>
      <c r="G1532" s="194"/>
      <c r="H1532" s="8"/>
      <c r="I1532" s="347"/>
      <c r="J1532" s="7"/>
      <c r="K1532" s="7"/>
      <c r="L1532" s="7"/>
      <c r="M1532" s="7"/>
      <c r="N1532" s="7"/>
    </row>
    <row r="1533" spans="1:14">
      <c r="A1533" s="42"/>
      <c r="B1533" s="34" t="s">
        <v>99</v>
      </c>
      <c r="C1533" s="13"/>
      <c r="D1533" s="140"/>
      <c r="E1533" s="19"/>
      <c r="F1533" s="20"/>
      <c r="G1533" s="194"/>
      <c r="H1533" s="8"/>
      <c r="I1533" s="347"/>
      <c r="J1533" s="7"/>
      <c r="K1533" s="7"/>
      <c r="L1533" s="7"/>
      <c r="M1533" s="7"/>
      <c r="N1533" s="7"/>
    </row>
    <row r="1534" spans="1:14">
      <c r="A1534" s="37"/>
      <c r="B1534" s="95"/>
      <c r="C1534" s="13"/>
      <c r="D1534" s="15"/>
      <c r="E1534" s="19"/>
      <c r="F1534" s="31"/>
      <c r="G1534" s="194"/>
      <c r="H1534" s="8"/>
      <c r="I1534" s="347"/>
      <c r="J1534" s="7"/>
      <c r="K1534" s="7"/>
      <c r="L1534" s="7"/>
      <c r="M1534" s="7"/>
      <c r="N1534" s="7"/>
    </row>
    <row r="1535" spans="1:14">
      <c r="A1535" s="42"/>
      <c r="B1535" s="92" t="s">
        <v>927</v>
      </c>
      <c r="C1535" s="18"/>
      <c r="D1535" s="18"/>
      <c r="E1535" s="19"/>
      <c r="F1535" s="20"/>
      <c r="G1535" s="194"/>
      <c r="H1535" s="8"/>
      <c r="I1535" s="347"/>
      <c r="J1535" s="7"/>
      <c r="K1535" s="7"/>
      <c r="L1535" s="7"/>
      <c r="M1535" s="7"/>
      <c r="N1535" s="7"/>
    </row>
    <row r="1536" spans="1:14">
      <c r="A1536" s="42"/>
      <c r="B1536" s="92" t="s">
        <v>928</v>
      </c>
      <c r="C1536" s="18"/>
      <c r="D1536" s="18"/>
      <c r="E1536" s="19"/>
      <c r="F1536" s="20"/>
      <c r="G1536" s="194"/>
      <c r="H1536" s="8"/>
      <c r="I1536" s="347"/>
      <c r="J1536" s="7"/>
      <c r="K1536" s="7"/>
      <c r="L1536" s="7"/>
      <c r="M1536" s="7"/>
      <c r="N1536" s="7"/>
    </row>
    <row r="1537" spans="1:14">
      <c r="A1537" s="37"/>
      <c r="B1537" s="25" t="s">
        <v>593</v>
      </c>
      <c r="C1537" s="18" t="s">
        <v>32</v>
      </c>
      <c r="D1537" s="38">
        <v>1</v>
      </c>
      <c r="E1537" s="16"/>
      <c r="F1537" s="31">
        <f>SUM(D1537*E1537)</f>
        <v>0</v>
      </c>
      <c r="G1537" s="193"/>
      <c r="H1537" s="8"/>
      <c r="I1537" s="347"/>
      <c r="J1537" s="7"/>
      <c r="K1537" s="7"/>
      <c r="L1537" s="7"/>
      <c r="M1537" s="7"/>
      <c r="N1537" s="7"/>
    </row>
    <row r="1538" spans="1:14" s="103" customFormat="1" ht="13.5" thickBot="1">
      <c r="A1538" s="94"/>
      <c r="B1538" s="25"/>
      <c r="C1538" s="18"/>
      <c r="D1538" s="33"/>
      <c r="E1538" s="19"/>
      <c r="F1538" s="30"/>
      <c r="G1538" s="194"/>
      <c r="H1538" s="9"/>
      <c r="I1538" s="347"/>
      <c r="J1538" s="7"/>
      <c r="K1538" s="7"/>
      <c r="L1538" s="7"/>
      <c r="M1538" s="7"/>
      <c r="N1538" s="7"/>
    </row>
    <row r="1539" spans="1:14" s="103" customFormat="1" ht="15.75" thickBot="1">
      <c r="A1539" s="57" t="str">
        <f>A1316</f>
        <v>10.</v>
      </c>
      <c r="B1539" s="58" t="s">
        <v>59</v>
      </c>
      <c r="C1539" s="59"/>
      <c r="D1539" s="60"/>
      <c r="E1539" s="168"/>
      <c r="F1539" s="52">
        <f>SUM(F1335:F1538)</f>
        <v>0</v>
      </c>
      <c r="G1539" s="396"/>
      <c r="H1539" s="313"/>
      <c r="I1539" s="347"/>
      <c r="J1539" s="7"/>
      <c r="K1539" s="7"/>
      <c r="L1539" s="7"/>
      <c r="M1539" s="7"/>
      <c r="N1539" s="7"/>
    </row>
    <row r="1540" spans="1:14" s="103" customFormat="1" ht="15.75" thickBot="1">
      <c r="A1540" s="62" t="s">
        <v>69</v>
      </c>
      <c r="B1540" s="72" t="s">
        <v>28</v>
      </c>
      <c r="C1540" s="73"/>
      <c r="D1540" s="74"/>
      <c r="E1540" s="169"/>
      <c r="F1540" s="75"/>
      <c r="G1540" s="186"/>
      <c r="H1540" s="313"/>
      <c r="L1540" s="6"/>
      <c r="M1540" s="6"/>
      <c r="N1540" s="6"/>
    </row>
    <row r="1541" spans="1:14" s="103" customFormat="1">
      <c r="A1541" s="32"/>
      <c r="B1541" s="22"/>
      <c r="C1541" s="22"/>
      <c r="D1541" s="22"/>
      <c r="E1541" s="84"/>
      <c r="F1541" s="63"/>
      <c r="G1541" s="186"/>
      <c r="L1541" s="6"/>
      <c r="M1541" s="6"/>
      <c r="N1541" s="6"/>
    </row>
    <row r="1542" spans="1:14" s="103" customFormat="1" ht="76.5">
      <c r="A1542" s="76" t="s">
        <v>70</v>
      </c>
      <c r="B1542" s="17" t="s">
        <v>793</v>
      </c>
      <c r="C1542" s="13"/>
      <c r="D1542" s="10"/>
      <c r="E1542" s="10"/>
      <c r="F1542" s="30"/>
      <c r="G1542" s="186"/>
      <c r="H1542" s="9"/>
      <c r="L1542" s="6"/>
      <c r="M1542" s="6"/>
      <c r="N1542" s="6"/>
    </row>
    <row r="1543" spans="1:14" s="103" customFormat="1" ht="63.75">
      <c r="A1543" s="76"/>
      <c r="B1543" s="17" t="s">
        <v>614</v>
      </c>
      <c r="C1543" s="13"/>
      <c r="D1543" s="10"/>
      <c r="E1543" s="10"/>
      <c r="F1543" s="30"/>
      <c r="G1543" s="186"/>
      <c r="H1543" s="9"/>
      <c r="L1543" s="6"/>
      <c r="M1543" s="6"/>
      <c r="N1543" s="6"/>
    </row>
    <row r="1544" spans="1:14" s="103" customFormat="1" ht="63.75">
      <c r="A1544" s="32"/>
      <c r="B1544" s="17" t="s">
        <v>615</v>
      </c>
      <c r="C1544" s="13"/>
      <c r="D1544" s="10"/>
      <c r="E1544" s="10"/>
      <c r="F1544" s="30"/>
      <c r="G1544" s="186"/>
      <c r="H1544" s="9"/>
      <c r="L1544" s="6"/>
      <c r="M1544" s="6"/>
      <c r="N1544" s="6"/>
    </row>
    <row r="1545" spans="1:14" s="103" customFormat="1" ht="25.5">
      <c r="A1545" s="32"/>
      <c r="B1545" s="17" t="s">
        <v>616</v>
      </c>
      <c r="C1545" s="13"/>
      <c r="D1545" s="10"/>
      <c r="E1545" s="10"/>
      <c r="F1545" s="30"/>
      <c r="G1545" s="186"/>
      <c r="H1545" s="9"/>
      <c r="L1545" s="6"/>
      <c r="M1545" s="6"/>
      <c r="N1545" s="6"/>
    </row>
    <row r="1546" spans="1:14" s="103" customFormat="1" ht="25.5">
      <c r="A1546" s="32"/>
      <c r="B1546" s="22" t="s">
        <v>617</v>
      </c>
      <c r="C1546" s="13"/>
      <c r="D1546" s="10"/>
      <c r="E1546" s="10"/>
      <c r="F1546" s="30"/>
      <c r="G1546" s="186"/>
      <c r="H1546" s="9"/>
      <c r="L1546" s="6"/>
      <c r="M1546" s="6"/>
      <c r="N1546" s="6"/>
    </row>
    <row r="1547" spans="1:14" s="103" customFormat="1">
      <c r="A1547" s="32"/>
      <c r="B1547" s="22"/>
      <c r="C1547" s="13"/>
      <c r="D1547" s="10"/>
      <c r="E1547" s="10"/>
      <c r="F1547" s="30"/>
      <c r="G1547" s="186"/>
      <c r="H1547" s="9"/>
      <c r="L1547" s="6"/>
      <c r="M1547" s="6"/>
      <c r="N1547" s="6"/>
    </row>
    <row r="1548" spans="1:14" s="103" customFormat="1">
      <c r="A1548" s="32"/>
      <c r="B1548" s="22" t="s">
        <v>601</v>
      </c>
      <c r="C1548" s="13"/>
      <c r="D1548" s="10"/>
      <c r="E1548" s="10"/>
      <c r="F1548" s="30"/>
      <c r="G1548" s="186"/>
      <c r="H1548" s="9"/>
      <c r="L1548" s="6"/>
      <c r="M1548" s="6"/>
      <c r="N1548" s="6"/>
    </row>
    <row r="1549" spans="1:14" s="103" customFormat="1">
      <c r="A1549" s="32"/>
      <c r="B1549" s="23" t="s">
        <v>953</v>
      </c>
      <c r="C1549" s="13" t="s">
        <v>38</v>
      </c>
      <c r="D1549" s="14">
        <f>494.59+4.2</f>
        <v>498.78999999999996</v>
      </c>
      <c r="E1549" s="10"/>
      <c r="F1549" s="30">
        <f>+D1549*E1549</f>
        <v>0</v>
      </c>
      <c r="G1549" s="193"/>
      <c r="H1549" s="9"/>
      <c r="L1549" s="6"/>
      <c r="M1549" s="6"/>
      <c r="N1549" s="6"/>
    </row>
    <row r="1550" spans="1:14" s="103" customFormat="1">
      <c r="A1550" s="32"/>
      <c r="B1550" s="23"/>
      <c r="C1550" s="13"/>
      <c r="D1550" s="14"/>
      <c r="E1550" s="10"/>
      <c r="F1550" s="30"/>
      <c r="G1550" s="193"/>
      <c r="H1550" s="9"/>
      <c r="L1550" s="6"/>
      <c r="M1550" s="6"/>
      <c r="N1550" s="6"/>
    </row>
    <row r="1551" spans="1:14" s="103" customFormat="1">
      <c r="A1551" s="32"/>
      <c r="B1551" s="22" t="s">
        <v>952</v>
      </c>
      <c r="C1551" s="13" t="s">
        <v>38</v>
      </c>
      <c r="D1551" s="14">
        <f>1.8*1.6</f>
        <v>2.8800000000000003</v>
      </c>
      <c r="E1551" s="10"/>
      <c r="F1551" s="30">
        <f>+D1551*E1551</f>
        <v>0</v>
      </c>
      <c r="G1551" s="193"/>
      <c r="H1551" s="9"/>
      <c r="L1551" s="6"/>
      <c r="M1551" s="6"/>
      <c r="N1551" s="6"/>
    </row>
    <row r="1552" spans="1:14" s="103" customFormat="1">
      <c r="A1552" s="32"/>
      <c r="B1552" s="22"/>
      <c r="C1552" s="13"/>
      <c r="D1552" s="10"/>
      <c r="E1552" s="10"/>
      <c r="F1552" s="30"/>
      <c r="G1552" s="186"/>
      <c r="H1552" s="9"/>
      <c r="L1552" s="6"/>
      <c r="M1552" s="6"/>
      <c r="N1552" s="6"/>
    </row>
    <row r="1553" spans="1:14" s="103" customFormat="1" ht="63.75">
      <c r="A1553" s="76" t="s">
        <v>71</v>
      </c>
      <c r="B1553" s="27" t="s">
        <v>624</v>
      </c>
      <c r="C1553" s="24"/>
      <c r="D1553" s="23"/>
      <c r="E1553" s="39"/>
      <c r="F1553" s="30"/>
      <c r="G1553" s="186"/>
      <c r="H1553" s="357"/>
      <c r="L1553" s="6"/>
      <c r="M1553" s="6"/>
      <c r="N1553" s="6"/>
    </row>
    <row r="1554" spans="1:14" s="103" customFormat="1" ht="51">
      <c r="A1554" s="32"/>
      <c r="B1554" s="27" t="s">
        <v>625</v>
      </c>
      <c r="C1554" s="24"/>
      <c r="D1554" s="23"/>
      <c r="E1554" s="39"/>
      <c r="F1554" s="30"/>
      <c r="G1554" s="186"/>
      <c r="H1554" s="357"/>
      <c r="L1554" s="6"/>
      <c r="M1554" s="6"/>
      <c r="N1554" s="6"/>
    </row>
    <row r="1555" spans="1:14" s="103" customFormat="1">
      <c r="A1555" s="32"/>
      <c r="B1555" s="27" t="s">
        <v>626</v>
      </c>
      <c r="C1555" s="24"/>
      <c r="D1555" s="23"/>
      <c r="E1555" s="39"/>
      <c r="F1555" s="30"/>
      <c r="G1555" s="186"/>
      <c r="H1555" s="357"/>
      <c r="L1555" s="6"/>
      <c r="M1555" s="6"/>
      <c r="N1555" s="6"/>
    </row>
    <row r="1556" spans="1:14" s="103" customFormat="1" ht="25.5">
      <c r="A1556" s="32"/>
      <c r="B1556" s="17" t="s">
        <v>616</v>
      </c>
      <c r="C1556" s="24"/>
      <c r="D1556" s="23"/>
      <c r="E1556" s="39"/>
      <c r="F1556" s="30"/>
      <c r="G1556" s="186"/>
      <c r="H1556" s="357"/>
      <c r="L1556" s="6"/>
      <c r="M1556" s="6"/>
      <c r="N1556" s="6"/>
    </row>
    <row r="1557" spans="1:14" s="103" customFormat="1">
      <c r="A1557" s="32"/>
      <c r="B1557" s="158" t="s">
        <v>534</v>
      </c>
      <c r="C1557" s="24"/>
      <c r="D1557" s="23"/>
      <c r="E1557" s="39"/>
      <c r="F1557" s="30"/>
      <c r="G1557" s="186"/>
      <c r="H1557" s="357"/>
      <c r="L1557" s="6"/>
      <c r="M1557" s="6"/>
      <c r="N1557" s="6"/>
    </row>
    <row r="1558" spans="1:14" s="103" customFormat="1">
      <c r="A1558" s="32"/>
      <c r="B1558" s="238" t="s">
        <v>623</v>
      </c>
      <c r="C1558" s="24"/>
      <c r="D1558" s="23"/>
      <c r="E1558" s="39"/>
      <c r="F1558" s="30"/>
      <c r="G1558" s="186"/>
      <c r="H1558" s="357"/>
      <c r="L1558" s="6"/>
      <c r="M1558" s="6"/>
      <c r="N1558" s="6"/>
    </row>
    <row r="1559" spans="1:14" s="103" customFormat="1">
      <c r="A1559" s="32"/>
      <c r="B1559" s="358"/>
      <c r="C1559" s="24"/>
      <c r="D1559" s="23"/>
      <c r="E1559" s="39"/>
      <c r="F1559" s="30"/>
      <c r="G1559" s="186"/>
      <c r="H1559" s="357"/>
      <c r="L1559" s="6"/>
      <c r="M1559" s="6"/>
      <c r="N1559" s="6"/>
    </row>
    <row r="1560" spans="1:14" s="103" customFormat="1">
      <c r="A1560" s="198"/>
      <c r="B1560" s="222" t="s">
        <v>946</v>
      </c>
      <c r="C1560" s="202" t="s">
        <v>39</v>
      </c>
      <c r="D1560" s="222">
        <f>15.96+13.91+9.2+10.85+17.7</f>
        <v>67.62</v>
      </c>
      <c r="E1560" s="334"/>
      <c r="F1560" s="212">
        <f>E1560*D1560</f>
        <v>0</v>
      </c>
      <c r="G1560" s="193"/>
      <c r="H1560" s="335"/>
      <c r="L1560" s="6"/>
      <c r="M1560" s="6"/>
      <c r="N1560" s="6"/>
    </row>
    <row r="1561" spans="1:14">
      <c r="A1561" s="32"/>
      <c r="B1561" s="15"/>
      <c r="C1561" s="24"/>
      <c r="D1561" s="23"/>
      <c r="E1561" s="39"/>
      <c r="F1561" s="30"/>
      <c r="G1561" s="186"/>
      <c r="H1561" s="357"/>
      <c r="I1561" s="103"/>
      <c r="J1561" s="103"/>
      <c r="K1561" s="103"/>
      <c r="L1561" s="103"/>
      <c r="M1561" s="103"/>
      <c r="N1561" s="103"/>
    </row>
    <row r="1562" spans="1:14" ht="63.75">
      <c r="A1562" s="76" t="s">
        <v>72</v>
      </c>
      <c r="B1562" s="27" t="s">
        <v>622</v>
      </c>
      <c r="C1562" s="24"/>
      <c r="D1562" s="23"/>
      <c r="E1562" s="39"/>
      <c r="F1562" s="30"/>
      <c r="G1562" s="186"/>
      <c r="H1562" s="357"/>
      <c r="I1562" s="103"/>
      <c r="J1562" s="103"/>
      <c r="K1562" s="103"/>
      <c r="L1562" s="103"/>
      <c r="M1562" s="103"/>
      <c r="N1562" s="103"/>
    </row>
    <row r="1563" spans="1:14" ht="76.5">
      <c r="A1563" s="32"/>
      <c r="B1563" s="27" t="s">
        <v>947</v>
      </c>
      <c r="C1563" s="24"/>
      <c r="D1563" s="23"/>
      <c r="E1563" s="39"/>
      <c r="F1563" s="30"/>
      <c r="G1563" s="186"/>
      <c r="H1563" s="357"/>
      <c r="I1563" s="103"/>
      <c r="J1563" s="103"/>
      <c r="K1563" s="103"/>
      <c r="L1563" s="103"/>
      <c r="M1563" s="103"/>
      <c r="N1563" s="103"/>
    </row>
    <row r="1564" spans="1:14" ht="25.5">
      <c r="A1564" s="32"/>
      <c r="B1564" s="17" t="s">
        <v>616</v>
      </c>
      <c r="C1564" s="24"/>
      <c r="D1564" s="23"/>
      <c r="E1564" s="39"/>
      <c r="F1564" s="30"/>
      <c r="G1564" s="186"/>
      <c r="H1564" s="357"/>
      <c r="I1564" s="103"/>
      <c r="J1564" s="103"/>
      <c r="K1564" s="103"/>
      <c r="L1564" s="103"/>
      <c r="M1564" s="103"/>
      <c r="N1564" s="103"/>
    </row>
    <row r="1565" spans="1:14">
      <c r="A1565" s="32"/>
      <c r="B1565" s="158" t="s">
        <v>534</v>
      </c>
      <c r="C1565" s="24"/>
      <c r="D1565" s="23"/>
      <c r="E1565" s="39"/>
      <c r="F1565" s="30"/>
      <c r="G1565" s="186"/>
      <c r="H1565" s="357"/>
      <c r="I1565" s="103"/>
      <c r="J1565" s="103"/>
      <c r="K1565" s="103"/>
      <c r="L1565" s="103"/>
      <c r="M1565" s="103"/>
      <c r="N1565" s="103"/>
    </row>
    <row r="1566" spans="1:14">
      <c r="A1566" s="32"/>
      <c r="B1566" s="238" t="s">
        <v>623</v>
      </c>
      <c r="C1566" s="24"/>
      <c r="D1566" s="23"/>
      <c r="E1566" s="39"/>
      <c r="F1566" s="30"/>
      <c r="G1566" s="186"/>
      <c r="H1566" s="357"/>
      <c r="I1566" s="103"/>
      <c r="J1566" s="103"/>
      <c r="K1566" s="103"/>
      <c r="L1566" s="103"/>
      <c r="M1566" s="103"/>
      <c r="N1566" s="103"/>
    </row>
    <row r="1567" spans="1:14">
      <c r="A1567" s="32"/>
      <c r="B1567" s="158"/>
      <c r="C1567" s="24"/>
      <c r="D1567" s="23"/>
      <c r="E1567" s="39"/>
      <c r="F1567" s="30"/>
      <c r="G1567" s="186"/>
      <c r="H1567" s="357"/>
      <c r="I1567" s="103"/>
      <c r="J1567" s="103"/>
      <c r="K1567" s="103"/>
      <c r="L1567" s="103"/>
      <c r="M1567" s="103"/>
      <c r="N1567" s="103"/>
    </row>
    <row r="1568" spans="1:14">
      <c r="A1568" s="32"/>
      <c r="B1568" s="23" t="s">
        <v>946</v>
      </c>
      <c r="C1568" s="24" t="s">
        <v>39</v>
      </c>
      <c r="D1568" s="23">
        <f>15.96+13.91+9.2+10.85+17.7</f>
        <v>67.62</v>
      </c>
      <c r="E1568" s="40"/>
      <c r="F1568" s="30">
        <f>E1568*D1568</f>
        <v>0</v>
      </c>
      <c r="G1568" s="193"/>
      <c r="H1568" s="357"/>
      <c r="I1568" s="103"/>
      <c r="J1568" s="103"/>
      <c r="K1568" s="103"/>
      <c r="L1568" s="103"/>
      <c r="M1568" s="103"/>
      <c r="N1568" s="103"/>
    </row>
    <row r="1569" spans="1:14">
      <c r="A1569" s="32"/>
      <c r="B1569" s="11"/>
      <c r="C1569" s="24"/>
      <c r="D1569" s="23"/>
      <c r="E1569" s="39"/>
      <c r="F1569" s="30"/>
      <c r="G1569" s="186"/>
      <c r="H1569" s="357"/>
      <c r="I1569" s="103"/>
      <c r="J1569" s="103"/>
      <c r="K1569" s="103"/>
      <c r="L1569" s="103"/>
      <c r="M1569" s="103"/>
      <c r="N1569" s="103"/>
    </row>
    <row r="1570" spans="1:14" ht="76.5">
      <c r="A1570" s="76" t="s">
        <v>633</v>
      </c>
      <c r="B1570" s="156" t="s">
        <v>794</v>
      </c>
      <c r="C1570" s="24"/>
      <c r="D1570" s="23"/>
      <c r="E1570" s="39"/>
      <c r="F1570" s="30"/>
      <c r="G1570" s="186"/>
      <c r="H1570" s="357"/>
      <c r="I1570" s="103"/>
      <c r="J1570" s="103"/>
      <c r="K1570" s="103"/>
      <c r="L1570" s="103"/>
      <c r="M1570" s="103"/>
      <c r="N1570" s="103"/>
    </row>
    <row r="1571" spans="1:14">
      <c r="A1571" s="76"/>
      <c r="B1571" s="156" t="s">
        <v>618</v>
      </c>
      <c r="C1571" s="24"/>
      <c r="D1571" s="23"/>
      <c r="E1571" s="39"/>
      <c r="F1571" s="30"/>
      <c r="G1571" s="186"/>
      <c r="H1571" s="357"/>
      <c r="I1571" s="103"/>
      <c r="J1571" s="103"/>
      <c r="K1571" s="103"/>
      <c r="L1571" s="103"/>
      <c r="M1571" s="103"/>
      <c r="N1571" s="103"/>
    </row>
    <row r="1572" spans="1:14" ht="51">
      <c r="A1572" s="76"/>
      <c r="B1572" s="103" t="s">
        <v>619</v>
      </c>
      <c r="C1572" s="24"/>
      <c r="D1572" s="23"/>
      <c r="E1572" s="39"/>
      <c r="F1572" s="30"/>
      <c r="G1572" s="186"/>
      <c r="H1572" s="357"/>
      <c r="I1572" s="103"/>
      <c r="J1572" s="103"/>
      <c r="K1572" s="103"/>
      <c r="L1572" s="103"/>
      <c r="M1572" s="103"/>
      <c r="N1572" s="103"/>
    </row>
    <row r="1573" spans="1:14" ht="25.5">
      <c r="A1573" s="76"/>
      <c r="B1573" s="103" t="s">
        <v>620</v>
      </c>
      <c r="C1573" s="24"/>
      <c r="D1573" s="23"/>
      <c r="E1573" s="39"/>
      <c r="F1573" s="30"/>
      <c r="G1573" s="186"/>
      <c r="H1573" s="357"/>
      <c r="I1573" s="103"/>
      <c r="J1573" s="103"/>
      <c r="K1573" s="103"/>
      <c r="L1573" s="103"/>
      <c r="M1573" s="103"/>
      <c r="N1573" s="103"/>
    </row>
    <row r="1574" spans="1:14">
      <c r="A1574" s="76"/>
      <c r="B1574" s="359" t="s">
        <v>621</v>
      </c>
      <c r="C1574" s="24"/>
      <c r="D1574" s="23"/>
      <c r="E1574" s="39"/>
      <c r="F1574" s="30"/>
      <c r="G1574" s="186"/>
      <c r="H1574" s="357"/>
      <c r="I1574" s="103"/>
      <c r="J1574" s="103"/>
      <c r="K1574" s="103"/>
      <c r="L1574" s="103"/>
      <c r="M1574" s="103"/>
      <c r="N1574" s="103"/>
    </row>
    <row r="1575" spans="1:14" ht="25.5">
      <c r="A1575" s="76"/>
      <c r="B1575" s="17" t="s">
        <v>616</v>
      </c>
      <c r="C1575" s="24"/>
      <c r="D1575" s="23"/>
      <c r="E1575" s="39"/>
      <c r="F1575" s="30"/>
      <c r="G1575" s="186"/>
      <c r="H1575" s="357"/>
      <c r="I1575" s="103"/>
      <c r="J1575" s="103"/>
      <c r="K1575" s="103"/>
      <c r="L1575" s="103"/>
      <c r="M1575" s="103"/>
      <c r="N1575" s="103"/>
    </row>
    <row r="1576" spans="1:14" ht="25.5">
      <c r="A1576" s="76"/>
      <c r="B1576" s="238" t="s">
        <v>292</v>
      </c>
      <c r="C1576" s="24"/>
      <c r="D1576" s="23"/>
      <c r="E1576" s="39"/>
      <c r="F1576" s="30"/>
      <c r="G1576" s="186"/>
      <c r="H1576" s="357"/>
      <c r="I1576" s="103"/>
      <c r="J1576" s="103"/>
      <c r="K1576" s="103"/>
      <c r="L1576" s="103"/>
      <c r="M1576" s="103"/>
      <c r="N1576" s="103"/>
    </row>
    <row r="1577" spans="1:14">
      <c r="A1577" s="76"/>
      <c r="B1577" s="158"/>
      <c r="C1577" s="24"/>
      <c r="D1577" s="23"/>
      <c r="E1577" s="39"/>
      <c r="F1577" s="30"/>
      <c r="G1577" s="186"/>
      <c r="H1577" s="357"/>
      <c r="I1577" s="103"/>
      <c r="J1577" s="103"/>
      <c r="K1577" s="103"/>
      <c r="L1577" s="103"/>
      <c r="M1577" s="103"/>
      <c r="N1577" s="103"/>
    </row>
    <row r="1578" spans="1:14">
      <c r="A1578" s="76"/>
      <c r="B1578" s="10" t="s">
        <v>602</v>
      </c>
      <c r="C1578" s="24"/>
      <c r="D1578" s="23"/>
      <c r="E1578" s="39"/>
      <c r="F1578" s="30"/>
      <c r="G1578" s="186"/>
      <c r="H1578" s="357"/>
      <c r="I1578" s="103"/>
      <c r="J1578" s="103"/>
      <c r="K1578" s="103"/>
      <c r="L1578" s="103"/>
      <c r="M1578" s="103"/>
      <c r="N1578" s="103"/>
    </row>
    <row r="1579" spans="1:14">
      <c r="A1579" s="32"/>
      <c r="B1579" s="23" t="s">
        <v>946</v>
      </c>
      <c r="C1579" s="24" t="s">
        <v>39</v>
      </c>
      <c r="D1579" s="23">
        <f>15.96+13.91+9.2+10.85+17.7</f>
        <v>67.62</v>
      </c>
      <c r="E1579" s="10"/>
      <c r="F1579" s="30">
        <f>+D1579*E1579</f>
        <v>0</v>
      </c>
      <c r="G1579" s="193"/>
      <c r="H1579" s="9"/>
      <c r="I1579" s="103"/>
      <c r="J1579" s="103"/>
      <c r="K1579" s="103"/>
      <c r="L1579" s="103"/>
      <c r="M1579" s="103"/>
      <c r="N1579" s="103"/>
    </row>
    <row r="1580" spans="1:14">
      <c r="A1580" s="32"/>
      <c r="B1580" s="15"/>
      <c r="C1580" s="24"/>
      <c r="D1580" s="23"/>
      <c r="E1580" s="39"/>
      <c r="F1580" s="30"/>
      <c r="G1580" s="186"/>
      <c r="H1580" s="357"/>
      <c r="I1580" s="103"/>
      <c r="J1580" s="103"/>
      <c r="K1580" s="103"/>
      <c r="L1580" s="103"/>
      <c r="M1580" s="103"/>
      <c r="N1580" s="103"/>
    </row>
    <row r="1581" spans="1:14" ht="63.75">
      <c r="A1581" s="76" t="s">
        <v>723</v>
      </c>
      <c r="B1581" s="27" t="s">
        <v>627</v>
      </c>
      <c r="C1581" s="24"/>
      <c r="D1581" s="23"/>
      <c r="E1581" s="39"/>
      <c r="F1581" s="30"/>
      <c r="G1581" s="186"/>
      <c r="H1581" s="357"/>
      <c r="I1581" s="110"/>
      <c r="J1581" s="325"/>
      <c r="K1581" s="103"/>
    </row>
    <row r="1582" spans="1:14" ht="51">
      <c r="A1582" s="204"/>
      <c r="B1582" s="284" t="s">
        <v>628</v>
      </c>
      <c r="C1582" s="202"/>
      <c r="D1582" s="222"/>
      <c r="E1582" s="285"/>
      <c r="F1582" s="212"/>
      <c r="G1582" s="186"/>
      <c r="H1582" s="357"/>
      <c r="I1582" s="110"/>
      <c r="J1582" s="325"/>
      <c r="K1582" s="103"/>
    </row>
    <row r="1583" spans="1:14">
      <c r="A1583" s="76"/>
      <c r="B1583" s="17"/>
      <c r="C1583" s="24"/>
      <c r="D1583" s="23"/>
      <c r="E1583" s="39"/>
      <c r="F1583" s="30"/>
      <c r="G1583" s="186"/>
      <c r="H1583" s="357"/>
      <c r="I1583" s="110"/>
      <c r="J1583" s="325"/>
      <c r="K1583" s="103"/>
    </row>
    <row r="1584" spans="1:14" ht="63.75">
      <c r="A1584" s="32"/>
      <c r="B1584" s="27" t="s">
        <v>108</v>
      </c>
      <c r="C1584" s="24"/>
      <c r="D1584" s="23"/>
      <c r="E1584" s="39"/>
      <c r="F1584" s="30"/>
      <c r="G1584" s="186"/>
      <c r="H1584" s="357"/>
      <c r="I1584" s="110"/>
      <c r="J1584" s="325"/>
      <c r="K1584" s="103"/>
    </row>
    <row r="1585" spans="1:14" s="103" customFormat="1" ht="38.25">
      <c r="A1585" s="32"/>
      <c r="B1585" s="17" t="s">
        <v>629</v>
      </c>
      <c r="C1585" s="24"/>
      <c r="D1585" s="23"/>
      <c r="E1585" s="39"/>
      <c r="F1585" s="30"/>
      <c r="G1585" s="186"/>
      <c r="H1585" s="357"/>
      <c r="I1585" s="110"/>
      <c r="J1585" s="325"/>
      <c r="L1585" s="6"/>
      <c r="M1585" s="6"/>
      <c r="N1585" s="6"/>
    </row>
    <row r="1586" spans="1:14" ht="51">
      <c r="A1586" s="32"/>
      <c r="B1586" s="27" t="s">
        <v>630</v>
      </c>
      <c r="C1586" s="24"/>
      <c r="D1586" s="23"/>
      <c r="E1586" s="39"/>
      <c r="F1586" s="30"/>
      <c r="G1586" s="186"/>
      <c r="H1586" s="357"/>
      <c r="I1586" s="110"/>
      <c r="J1586" s="325"/>
      <c r="K1586" s="103"/>
    </row>
    <row r="1587" spans="1:14">
      <c r="A1587" s="32"/>
      <c r="B1587" s="27" t="s">
        <v>96</v>
      </c>
      <c r="C1587" s="24"/>
      <c r="D1587" s="23"/>
      <c r="E1587" s="39"/>
      <c r="F1587" s="30"/>
      <c r="G1587" s="186"/>
      <c r="H1587" s="357"/>
      <c r="I1587" s="110"/>
      <c r="J1587" s="325"/>
      <c r="K1587" s="103"/>
    </row>
    <row r="1588" spans="1:14">
      <c r="A1588" s="32"/>
      <c r="B1588" s="27"/>
      <c r="C1588" s="24"/>
      <c r="D1588" s="23"/>
      <c r="E1588" s="39"/>
      <c r="F1588" s="30"/>
      <c r="G1588" s="186"/>
      <c r="H1588" s="357"/>
      <c r="I1588" s="110"/>
      <c r="J1588" s="325"/>
      <c r="K1588" s="103"/>
    </row>
    <row r="1589" spans="1:14">
      <c r="A1589" s="32"/>
      <c r="B1589" s="27" t="s">
        <v>118</v>
      </c>
      <c r="C1589" s="24"/>
      <c r="D1589" s="23"/>
      <c r="E1589" s="39"/>
      <c r="F1589" s="30"/>
      <c r="G1589" s="186"/>
      <c r="H1589" s="357"/>
      <c r="I1589" s="110"/>
      <c r="J1589" s="325"/>
      <c r="K1589" s="103"/>
    </row>
    <row r="1590" spans="1:14">
      <c r="A1590" s="32"/>
      <c r="B1590" s="28" t="s">
        <v>1214</v>
      </c>
      <c r="C1590" s="81" t="s">
        <v>39</v>
      </c>
      <c r="D1590" s="28">
        <f>15.46*5</f>
        <v>77.300000000000011</v>
      </c>
      <c r="E1590" s="10"/>
      <c r="F1590" s="31">
        <f>E1590*D1590</f>
        <v>0</v>
      </c>
      <c r="G1590" s="193"/>
      <c r="H1590" s="9"/>
      <c r="I1590" s="110"/>
      <c r="J1590" s="325"/>
      <c r="K1590" s="103"/>
    </row>
    <row r="1591" spans="1:14">
      <c r="A1591" s="32"/>
      <c r="B1591" s="23"/>
      <c r="C1591" s="24"/>
      <c r="D1591" s="23"/>
      <c r="E1591" s="39"/>
      <c r="F1591" s="30"/>
      <c r="G1591" s="186"/>
      <c r="H1591" s="357"/>
      <c r="I1591" s="110"/>
      <c r="J1591" s="325"/>
      <c r="K1591" s="103"/>
    </row>
    <row r="1592" spans="1:14" ht="51">
      <c r="A1592" s="76" t="s">
        <v>634</v>
      </c>
      <c r="B1592" s="27" t="s">
        <v>631</v>
      </c>
      <c r="C1592" s="41"/>
      <c r="D1592" s="27"/>
      <c r="E1592" s="27"/>
      <c r="F1592" s="239"/>
      <c r="G1592" s="186"/>
      <c r="H1592" s="124"/>
      <c r="I1592" s="110"/>
      <c r="J1592" s="325"/>
      <c r="K1592" s="103"/>
    </row>
    <row r="1593" spans="1:14" ht="51">
      <c r="A1593" s="76"/>
      <c r="B1593" s="27" t="s">
        <v>632</v>
      </c>
      <c r="C1593" s="41"/>
      <c r="D1593" s="27"/>
      <c r="E1593" s="27"/>
      <c r="F1593" s="239"/>
      <c r="G1593" s="186"/>
      <c r="H1593" s="124"/>
      <c r="I1593" s="110"/>
      <c r="J1593" s="325"/>
      <c r="K1593" s="103"/>
    </row>
    <row r="1594" spans="1:14" ht="25.5">
      <c r="A1594" s="32"/>
      <c r="B1594" s="27" t="s">
        <v>102</v>
      </c>
      <c r="C1594" s="41" t="s">
        <v>32</v>
      </c>
      <c r="D1594" s="141">
        <v>5</v>
      </c>
      <c r="E1594" s="16"/>
      <c r="F1594" s="20">
        <f>E1594*D1594</f>
        <v>0</v>
      </c>
      <c r="G1594" s="193"/>
      <c r="H1594" s="8"/>
      <c r="I1594" s="110"/>
      <c r="J1594" s="9"/>
      <c r="K1594" s="103"/>
    </row>
    <row r="1595" spans="1:14">
      <c r="A1595" s="32"/>
      <c r="B1595" s="27"/>
      <c r="C1595" s="41"/>
      <c r="D1595" s="141"/>
      <c r="E1595" s="16"/>
      <c r="F1595" s="20"/>
      <c r="G1595" s="186"/>
      <c r="H1595" s="8"/>
      <c r="I1595" s="110"/>
      <c r="J1595" s="9"/>
      <c r="K1595" s="103"/>
    </row>
    <row r="1596" spans="1:14" ht="76.5">
      <c r="A1596" s="76" t="s">
        <v>635</v>
      </c>
      <c r="B1596" s="27" t="s">
        <v>1021</v>
      </c>
      <c r="C1596" s="81"/>
      <c r="D1596" s="23"/>
      <c r="E1596" s="19"/>
      <c r="F1596" s="30"/>
      <c r="G1596" s="186"/>
      <c r="H1596" s="8"/>
      <c r="I1596" s="110"/>
      <c r="J1596" s="9"/>
      <c r="K1596" s="103"/>
    </row>
    <row r="1597" spans="1:14" ht="51">
      <c r="A1597" s="32"/>
      <c r="B1597" s="27" t="s">
        <v>637</v>
      </c>
      <c r="C1597" s="81"/>
      <c r="D1597" s="23"/>
      <c r="E1597" s="19"/>
      <c r="F1597" s="30"/>
      <c r="G1597" s="186"/>
      <c r="H1597" s="8"/>
      <c r="I1597" s="110"/>
      <c r="J1597" s="9"/>
      <c r="K1597" s="103"/>
    </row>
    <row r="1598" spans="1:14" ht="38.25">
      <c r="A1598" s="32"/>
      <c r="B1598" s="27" t="s">
        <v>638</v>
      </c>
      <c r="C1598" s="81"/>
      <c r="D1598" s="23"/>
      <c r="E1598" s="19"/>
      <c r="F1598" s="30"/>
      <c r="G1598" s="186"/>
      <c r="H1598" s="8"/>
      <c r="I1598" s="110"/>
      <c r="J1598" s="9"/>
      <c r="K1598" s="103"/>
    </row>
    <row r="1599" spans="1:14" ht="25.5">
      <c r="A1599" s="32"/>
      <c r="B1599" s="17" t="s">
        <v>616</v>
      </c>
      <c r="C1599" s="81"/>
      <c r="D1599" s="23"/>
      <c r="E1599" s="19"/>
      <c r="F1599" s="30"/>
      <c r="G1599" s="186"/>
      <c r="H1599" s="8"/>
      <c r="I1599" s="110"/>
      <c r="J1599" s="9"/>
      <c r="K1599" s="103"/>
    </row>
    <row r="1600" spans="1:14">
      <c r="A1600" s="32"/>
      <c r="B1600" s="238" t="s">
        <v>639</v>
      </c>
      <c r="C1600" s="81"/>
      <c r="D1600" s="23"/>
      <c r="E1600" s="19"/>
      <c r="F1600" s="30"/>
      <c r="G1600" s="186"/>
      <c r="H1600" s="8"/>
      <c r="I1600" s="110"/>
      <c r="J1600" s="9"/>
      <c r="K1600" s="103"/>
    </row>
    <row r="1601" spans="1:11">
      <c r="A1601" s="32"/>
      <c r="B1601" s="23"/>
      <c r="C1601" s="81"/>
      <c r="D1601" s="23"/>
      <c r="E1601" s="19"/>
      <c r="F1601" s="30"/>
      <c r="G1601" s="186"/>
      <c r="H1601" s="8"/>
      <c r="I1601" s="110"/>
      <c r="J1601" s="9"/>
      <c r="K1601" s="103"/>
    </row>
    <row r="1602" spans="1:11">
      <c r="A1602" s="32"/>
      <c r="B1602" s="238" t="s">
        <v>640</v>
      </c>
      <c r="C1602" s="81"/>
      <c r="D1602" s="23"/>
      <c r="E1602" s="19"/>
      <c r="F1602" s="30"/>
      <c r="G1602" s="186"/>
      <c r="H1602" s="8"/>
      <c r="I1602" s="110"/>
      <c r="J1602" s="9"/>
      <c r="K1602" s="103"/>
    </row>
    <row r="1603" spans="1:11">
      <c r="A1603" s="198"/>
      <c r="B1603" s="287" t="s">
        <v>644</v>
      </c>
      <c r="C1603" s="208" t="s">
        <v>39</v>
      </c>
      <c r="D1603" s="303">
        <f>7.9*4</f>
        <v>31.6</v>
      </c>
      <c r="E1603" s="215"/>
      <c r="F1603" s="211">
        <f>E1603*D1603</f>
        <v>0</v>
      </c>
      <c r="G1603" s="193"/>
      <c r="H1603" s="8"/>
      <c r="I1603" s="110"/>
      <c r="J1603" s="9"/>
      <c r="K1603" s="103"/>
    </row>
    <row r="1604" spans="1:11">
      <c r="A1604" s="32"/>
      <c r="B1604" s="27"/>
      <c r="C1604" s="41"/>
      <c r="D1604" s="141"/>
      <c r="E1604" s="16"/>
      <c r="F1604" s="20"/>
      <c r="G1604" s="186"/>
      <c r="H1604" s="8"/>
      <c r="I1604" s="110"/>
      <c r="J1604" s="9"/>
      <c r="K1604" s="103"/>
    </row>
    <row r="1605" spans="1:11" ht="63.75">
      <c r="A1605" s="76" t="s">
        <v>636</v>
      </c>
      <c r="B1605" s="27" t="s">
        <v>643</v>
      </c>
      <c r="C1605" s="41"/>
      <c r="D1605" s="141"/>
      <c r="E1605" s="16"/>
      <c r="F1605" s="20"/>
      <c r="G1605" s="186"/>
      <c r="H1605" s="8"/>
      <c r="I1605" s="110"/>
      <c r="J1605" s="9"/>
      <c r="K1605" s="103"/>
    </row>
    <row r="1606" spans="1:11" ht="25.5">
      <c r="A1606" s="32"/>
      <c r="B1606" s="27" t="s">
        <v>641</v>
      </c>
      <c r="C1606" s="41"/>
      <c r="D1606" s="141"/>
      <c r="E1606" s="16"/>
      <c r="F1606" s="20"/>
      <c r="G1606" s="186"/>
      <c r="H1606" s="8"/>
      <c r="I1606" s="110"/>
      <c r="J1606" s="9"/>
      <c r="K1606" s="103"/>
    </row>
    <row r="1607" spans="1:11" ht="25.5">
      <c r="A1607" s="32"/>
      <c r="B1607" s="17" t="s">
        <v>616</v>
      </c>
      <c r="C1607" s="41"/>
      <c r="D1607" s="141"/>
      <c r="E1607" s="16"/>
      <c r="F1607" s="20"/>
      <c r="G1607" s="186"/>
      <c r="H1607" s="8"/>
      <c r="I1607" s="110"/>
      <c r="J1607" s="9"/>
      <c r="K1607" s="103"/>
    </row>
    <row r="1608" spans="1:11">
      <c r="A1608" s="32"/>
      <c r="B1608" s="238" t="s">
        <v>96</v>
      </c>
      <c r="C1608" s="41"/>
      <c r="D1608" s="141"/>
      <c r="E1608" s="16"/>
      <c r="F1608" s="20"/>
      <c r="G1608" s="186"/>
      <c r="H1608" s="8"/>
      <c r="I1608" s="110"/>
      <c r="J1608" s="9"/>
      <c r="K1608" s="103"/>
    </row>
    <row r="1609" spans="1:11">
      <c r="A1609" s="32"/>
      <c r="B1609" s="27"/>
      <c r="C1609" s="41"/>
      <c r="D1609" s="141"/>
      <c r="E1609" s="16"/>
      <c r="F1609" s="20"/>
      <c r="G1609" s="186"/>
      <c r="H1609" s="8"/>
      <c r="I1609" s="110"/>
      <c r="J1609" s="9"/>
      <c r="K1609" s="103"/>
    </row>
    <row r="1610" spans="1:11">
      <c r="A1610" s="32"/>
      <c r="B1610" s="21" t="s">
        <v>648</v>
      </c>
      <c r="C1610" s="81" t="s">
        <v>39</v>
      </c>
      <c r="D1610" s="28">
        <f>19.4*2</f>
        <v>38.799999999999997</v>
      </c>
      <c r="E1610" s="10"/>
      <c r="F1610" s="31">
        <f>E1610*D1610</f>
        <v>0</v>
      </c>
      <c r="G1610" s="193"/>
      <c r="H1610" s="8"/>
      <c r="I1610" s="110"/>
      <c r="J1610" s="9"/>
      <c r="K1610" s="103"/>
    </row>
    <row r="1611" spans="1:11">
      <c r="A1611" s="32"/>
      <c r="B1611" s="27"/>
      <c r="C1611" s="41"/>
      <c r="D1611" s="141"/>
      <c r="E1611" s="16"/>
      <c r="F1611" s="20"/>
      <c r="G1611" s="186"/>
      <c r="H1611" s="8"/>
      <c r="I1611" s="110"/>
      <c r="J1611" s="9"/>
      <c r="K1611" s="103"/>
    </row>
    <row r="1612" spans="1:11" ht="63.75">
      <c r="A1612" s="76" t="s">
        <v>642</v>
      </c>
      <c r="B1612" s="27" t="s">
        <v>1022</v>
      </c>
      <c r="C1612" s="41"/>
      <c r="D1612" s="141"/>
      <c r="E1612" s="16"/>
      <c r="F1612" s="20"/>
      <c r="G1612" s="186"/>
      <c r="H1612" s="8"/>
      <c r="I1612" s="110"/>
      <c r="J1612" s="9"/>
      <c r="K1612" s="103"/>
    </row>
    <row r="1613" spans="1:11" ht="25.5">
      <c r="A1613" s="76"/>
      <c r="B1613" s="27" t="s">
        <v>646</v>
      </c>
      <c r="C1613" s="41"/>
      <c r="D1613" s="141"/>
      <c r="E1613" s="16"/>
      <c r="F1613" s="20"/>
      <c r="G1613" s="186"/>
      <c r="H1613" s="8"/>
      <c r="I1613" s="110"/>
      <c r="J1613" s="9"/>
      <c r="K1613" s="103"/>
    </row>
    <row r="1614" spans="1:11" ht="25.5">
      <c r="A1614" s="76"/>
      <c r="B1614" s="27" t="s">
        <v>647</v>
      </c>
      <c r="C1614" s="41"/>
      <c r="D1614" s="141"/>
      <c r="E1614" s="16"/>
      <c r="F1614" s="20"/>
      <c r="G1614" s="186"/>
      <c r="H1614" s="8"/>
      <c r="I1614" s="110"/>
      <c r="J1614" s="9"/>
      <c r="K1614" s="103"/>
    </row>
    <row r="1615" spans="1:11" ht="25.5">
      <c r="A1615" s="76"/>
      <c r="B1615" s="17" t="s">
        <v>616</v>
      </c>
      <c r="C1615" s="41"/>
      <c r="D1615" s="141"/>
      <c r="E1615" s="16"/>
      <c r="F1615" s="20"/>
      <c r="G1615" s="186"/>
      <c r="H1615" s="8"/>
      <c r="I1615" s="110"/>
      <c r="J1615" s="9"/>
      <c r="K1615" s="103"/>
    </row>
    <row r="1616" spans="1:11">
      <c r="A1616" s="76"/>
      <c r="B1616" s="238" t="s">
        <v>96</v>
      </c>
      <c r="C1616" s="41"/>
      <c r="D1616" s="141"/>
      <c r="E1616" s="16"/>
      <c r="F1616" s="20"/>
      <c r="G1616" s="186"/>
      <c r="H1616" s="8"/>
      <c r="I1616" s="110"/>
      <c r="J1616" s="9"/>
      <c r="K1616" s="103"/>
    </row>
    <row r="1617" spans="1:11">
      <c r="A1617" s="32"/>
      <c r="B1617" s="27"/>
      <c r="C1617" s="41"/>
      <c r="D1617" s="141"/>
      <c r="E1617" s="16"/>
      <c r="F1617" s="20"/>
      <c r="G1617" s="186"/>
      <c r="H1617" s="8"/>
      <c r="I1617" s="110"/>
      <c r="J1617" s="9"/>
      <c r="K1617" s="103"/>
    </row>
    <row r="1618" spans="1:11">
      <c r="A1618" s="32"/>
      <c r="B1618" s="21" t="s">
        <v>644</v>
      </c>
      <c r="C1618" s="81" t="s">
        <v>39</v>
      </c>
      <c r="D1618" s="28">
        <f>7.9*2</f>
        <v>15.8</v>
      </c>
      <c r="E1618" s="10"/>
      <c r="F1618" s="31">
        <f>E1618*D1618</f>
        <v>0</v>
      </c>
      <c r="G1618" s="193"/>
      <c r="H1618" s="8"/>
      <c r="I1618" s="110"/>
      <c r="J1618" s="9"/>
      <c r="K1618" s="103"/>
    </row>
    <row r="1619" spans="1:11">
      <c r="A1619" s="32"/>
      <c r="B1619" s="27"/>
      <c r="C1619" s="41"/>
      <c r="D1619" s="141"/>
      <c r="E1619" s="16"/>
      <c r="F1619" s="20"/>
      <c r="G1619" s="186"/>
      <c r="H1619" s="8"/>
      <c r="I1619" s="110"/>
      <c r="J1619" s="9"/>
      <c r="K1619" s="103"/>
    </row>
    <row r="1620" spans="1:11" ht="38.25">
      <c r="A1620" s="76" t="s">
        <v>645</v>
      </c>
      <c r="B1620" s="27" t="s">
        <v>1023</v>
      </c>
      <c r="C1620" s="41"/>
      <c r="D1620" s="141"/>
      <c r="E1620" s="16"/>
      <c r="F1620" s="20"/>
      <c r="G1620" s="186"/>
      <c r="H1620" s="8"/>
      <c r="I1620" s="110"/>
      <c r="J1620" s="9"/>
      <c r="K1620" s="103"/>
    </row>
    <row r="1621" spans="1:11" ht="63.75">
      <c r="A1621" s="76"/>
      <c r="B1621" s="27" t="s">
        <v>665</v>
      </c>
      <c r="C1621" s="41"/>
      <c r="D1621" s="141"/>
      <c r="E1621" s="16"/>
      <c r="F1621" s="20"/>
      <c r="G1621" s="186"/>
      <c r="H1621" s="8"/>
      <c r="I1621" s="110"/>
      <c r="J1621" s="9"/>
      <c r="K1621" s="103"/>
    </row>
    <row r="1622" spans="1:11" ht="51">
      <c r="A1622" s="76"/>
      <c r="B1622" s="27" t="s">
        <v>650</v>
      </c>
      <c r="C1622" s="41"/>
      <c r="D1622" s="141"/>
      <c r="E1622" s="16"/>
      <c r="F1622" s="20"/>
      <c r="G1622" s="186"/>
      <c r="H1622" s="8"/>
      <c r="I1622" s="110"/>
      <c r="J1622" s="9"/>
      <c r="K1622" s="103"/>
    </row>
    <row r="1623" spans="1:11" ht="25.5">
      <c r="A1623" s="32"/>
      <c r="B1623" s="17" t="s">
        <v>616</v>
      </c>
      <c r="C1623" s="41"/>
      <c r="D1623" s="141"/>
      <c r="E1623" s="16"/>
      <c r="F1623" s="20"/>
      <c r="G1623" s="186"/>
      <c r="H1623" s="8"/>
      <c r="I1623" s="110"/>
      <c r="J1623" s="9"/>
      <c r="K1623" s="103"/>
    </row>
    <row r="1624" spans="1:11">
      <c r="A1624" s="32"/>
      <c r="B1624" s="238" t="s">
        <v>96</v>
      </c>
      <c r="C1624" s="41"/>
      <c r="D1624" s="141"/>
      <c r="E1624" s="16"/>
      <c r="F1624" s="20"/>
      <c r="G1624" s="186"/>
      <c r="H1624" s="8"/>
      <c r="I1624" s="110"/>
      <c r="J1624" s="9"/>
      <c r="K1624" s="103"/>
    </row>
    <row r="1625" spans="1:11">
      <c r="A1625" s="32"/>
      <c r="B1625" s="27"/>
      <c r="C1625" s="41"/>
      <c r="D1625" s="141"/>
      <c r="E1625" s="16"/>
      <c r="F1625" s="20"/>
      <c r="G1625" s="186"/>
      <c r="H1625" s="8"/>
      <c r="I1625" s="110"/>
      <c r="J1625" s="9"/>
      <c r="K1625" s="103"/>
    </row>
    <row r="1626" spans="1:11">
      <c r="A1626" s="198"/>
      <c r="B1626" s="287" t="s">
        <v>644</v>
      </c>
      <c r="C1626" s="208" t="s">
        <v>39</v>
      </c>
      <c r="D1626" s="303">
        <f>7.9*4</f>
        <v>31.6</v>
      </c>
      <c r="E1626" s="215"/>
      <c r="F1626" s="211">
        <f>E1626*D1626</f>
        <v>0</v>
      </c>
      <c r="G1626" s="193"/>
      <c r="H1626" s="8"/>
      <c r="I1626" s="110"/>
      <c r="J1626" s="9"/>
      <c r="K1626" s="103"/>
    </row>
    <row r="1627" spans="1:11">
      <c r="A1627" s="32"/>
      <c r="B1627" s="27"/>
      <c r="C1627" s="41"/>
      <c r="D1627" s="141"/>
      <c r="E1627" s="16"/>
      <c r="F1627" s="20"/>
      <c r="G1627" s="186"/>
      <c r="H1627" s="8"/>
      <c r="I1627" s="110"/>
      <c r="J1627" s="9"/>
      <c r="K1627" s="103"/>
    </row>
    <row r="1628" spans="1:11" ht="25.5">
      <c r="A1628" s="76" t="s">
        <v>649</v>
      </c>
      <c r="B1628" s="27" t="s">
        <v>959</v>
      </c>
      <c r="C1628" s="41"/>
      <c r="D1628" s="141"/>
      <c r="E1628" s="16"/>
      <c r="F1628" s="20"/>
      <c r="G1628" s="186"/>
      <c r="H1628" s="8"/>
      <c r="I1628" s="110"/>
      <c r="J1628" s="9"/>
      <c r="K1628" s="103"/>
    </row>
    <row r="1629" spans="1:11" ht="89.25">
      <c r="A1629" s="76"/>
      <c r="B1629" s="27" t="s">
        <v>1279</v>
      </c>
      <c r="C1629" s="41"/>
      <c r="D1629" s="141"/>
      <c r="E1629" s="16"/>
      <c r="F1629" s="20"/>
      <c r="G1629" s="186"/>
      <c r="H1629" s="8"/>
      <c r="I1629" s="110"/>
      <c r="J1629" s="9"/>
      <c r="K1629" s="103"/>
    </row>
    <row r="1630" spans="1:11" ht="25.5">
      <c r="A1630" s="76"/>
      <c r="B1630" s="27" t="s">
        <v>1278</v>
      </c>
      <c r="C1630" s="41"/>
      <c r="D1630" s="141"/>
      <c r="E1630" s="16"/>
      <c r="F1630" s="20"/>
      <c r="G1630" s="186"/>
      <c r="H1630" s="8"/>
      <c r="I1630" s="110"/>
      <c r="J1630" s="9"/>
      <c r="K1630" s="103"/>
    </row>
    <row r="1631" spans="1:11" ht="25.5">
      <c r="A1631" s="76"/>
      <c r="B1631" s="17" t="s">
        <v>616</v>
      </c>
      <c r="C1631" s="41"/>
      <c r="D1631" s="141"/>
      <c r="E1631" s="16"/>
      <c r="F1631" s="20"/>
      <c r="G1631" s="186"/>
      <c r="H1631" s="8"/>
      <c r="I1631" s="110"/>
      <c r="J1631" s="9"/>
      <c r="K1631" s="103"/>
    </row>
    <row r="1632" spans="1:11">
      <c r="A1632" s="76"/>
      <c r="B1632" s="238" t="s">
        <v>96</v>
      </c>
      <c r="C1632" s="41"/>
      <c r="D1632" s="141"/>
      <c r="E1632" s="16"/>
      <c r="F1632" s="20"/>
      <c r="G1632" s="186"/>
      <c r="H1632" s="8"/>
      <c r="I1632" s="110"/>
      <c r="J1632" s="9"/>
      <c r="K1632" s="103"/>
    </row>
    <row r="1633" spans="1:14">
      <c r="A1633" s="32"/>
      <c r="B1633" s="23" t="s">
        <v>960</v>
      </c>
      <c r="C1633" s="81" t="s">
        <v>39</v>
      </c>
      <c r="D1633" s="21">
        <f>10.85+8.2+6.92+1.1</f>
        <v>27.07</v>
      </c>
      <c r="E1633" s="40"/>
      <c r="F1633" s="30">
        <f>E1633*D1633</f>
        <v>0</v>
      </c>
      <c r="G1633" s="193"/>
      <c r="H1633" s="335"/>
      <c r="I1633" s="110"/>
      <c r="J1633" s="11"/>
      <c r="K1633" s="103"/>
    </row>
    <row r="1634" spans="1:14">
      <c r="A1634" s="32"/>
      <c r="B1634" s="21"/>
      <c r="C1634" s="81"/>
      <c r="D1634" s="21"/>
      <c r="E1634" s="40"/>
      <c r="F1634" s="30"/>
      <c r="G1634" s="186"/>
      <c r="H1634" s="335"/>
      <c r="I1634" s="110"/>
      <c r="J1634" s="11"/>
      <c r="K1634" s="103"/>
      <c r="L1634" s="103"/>
      <c r="M1634" s="103"/>
      <c r="N1634" s="103"/>
    </row>
    <row r="1635" spans="1:14" ht="76.5">
      <c r="A1635" s="76" t="s">
        <v>651</v>
      </c>
      <c r="B1635" s="27" t="s">
        <v>963</v>
      </c>
      <c r="C1635" s="81"/>
      <c r="D1635" s="23"/>
      <c r="E1635" s="19"/>
      <c r="F1635" s="30"/>
      <c r="G1635" s="186"/>
      <c r="H1635" s="335"/>
      <c r="I1635" s="110"/>
      <c r="J1635" s="11"/>
      <c r="K1635" s="103"/>
      <c r="L1635" s="103"/>
      <c r="M1635" s="103"/>
      <c r="N1635" s="103"/>
    </row>
    <row r="1636" spans="1:14" ht="51">
      <c r="A1636" s="32"/>
      <c r="B1636" s="27" t="s">
        <v>637</v>
      </c>
      <c r="C1636" s="81"/>
      <c r="D1636" s="23"/>
      <c r="E1636" s="19"/>
      <c r="F1636" s="30"/>
      <c r="G1636" s="186"/>
      <c r="H1636" s="335"/>
      <c r="I1636" s="110"/>
      <c r="J1636" s="11"/>
      <c r="K1636" s="103"/>
      <c r="L1636" s="103"/>
      <c r="M1636" s="103"/>
      <c r="N1636" s="103"/>
    </row>
    <row r="1637" spans="1:14" ht="38.25">
      <c r="A1637" s="32"/>
      <c r="B1637" s="27" t="s">
        <v>638</v>
      </c>
      <c r="C1637" s="81"/>
      <c r="D1637" s="23"/>
      <c r="E1637" s="19"/>
      <c r="F1637" s="30"/>
      <c r="G1637" s="186"/>
      <c r="H1637" s="335"/>
      <c r="I1637" s="110"/>
      <c r="J1637" s="11"/>
      <c r="K1637" s="103"/>
      <c r="L1637" s="103"/>
      <c r="M1637" s="103"/>
      <c r="N1637" s="103"/>
    </row>
    <row r="1638" spans="1:14" ht="25.5">
      <c r="A1638" s="32"/>
      <c r="B1638" s="17" t="s">
        <v>616</v>
      </c>
      <c r="C1638" s="81"/>
      <c r="D1638" s="23"/>
      <c r="E1638" s="19"/>
      <c r="F1638" s="30"/>
      <c r="G1638" s="186"/>
      <c r="H1638" s="335"/>
      <c r="I1638" s="110"/>
      <c r="J1638" s="11"/>
      <c r="K1638" s="103"/>
      <c r="L1638" s="103"/>
      <c r="M1638" s="103"/>
      <c r="N1638" s="103"/>
    </row>
    <row r="1639" spans="1:14">
      <c r="A1639" s="32"/>
      <c r="B1639" s="238" t="s">
        <v>639</v>
      </c>
      <c r="C1639" s="81"/>
      <c r="D1639" s="23"/>
      <c r="E1639" s="19"/>
      <c r="F1639" s="30"/>
      <c r="G1639" s="186"/>
      <c r="H1639" s="335"/>
      <c r="I1639" s="110"/>
      <c r="J1639" s="11"/>
      <c r="K1639" s="103"/>
      <c r="L1639" s="103"/>
      <c r="M1639" s="103"/>
      <c r="N1639" s="103"/>
    </row>
    <row r="1640" spans="1:14">
      <c r="A1640" s="32"/>
      <c r="B1640" s="23"/>
      <c r="C1640" s="81"/>
      <c r="D1640" s="23"/>
      <c r="E1640" s="19"/>
      <c r="F1640" s="30"/>
      <c r="G1640" s="186"/>
      <c r="H1640" s="335"/>
      <c r="I1640" s="110"/>
      <c r="J1640" s="11"/>
      <c r="K1640" s="103"/>
      <c r="L1640" s="103"/>
      <c r="M1640" s="103"/>
      <c r="N1640" s="103"/>
    </row>
    <row r="1641" spans="1:14">
      <c r="A1641" s="32"/>
      <c r="B1641" s="238" t="s">
        <v>964</v>
      </c>
      <c r="C1641" s="81"/>
      <c r="D1641" s="23"/>
      <c r="E1641" s="19"/>
      <c r="F1641" s="30"/>
      <c r="G1641" s="186"/>
      <c r="H1641" s="335"/>
      <c r="I1641" s="110"/>
      <c r="J1641" s="11"/>
      <c r="K1641" s="103"/>
      <c r="L1641" s="103"/>
      <c r="M1641" s="103"/>
      <c r="N1641" s="103"/>
    </row>
    <row r="1642" spans="1:14">
      <c r="A1642" s="32"/>
      <c r="B1642" s="23" t="s">
        <v>1024</v>
      </c>
      <c r="C1642" s="81" t="s">
        <v>39</v>
      </c>
      <c r="D1642" s="21">
        <f>8.2+6.92+1.1+2.95+2.17</f>
        <v>21.339999999999996</v>
      </c>
      <c r="E1642" s="10"/>
      <c r="F1642" s="31">
        <f>E1642*D1642</f>
        <v>0</v>
      </c>
      <c r="G1642" s="186"/>
      <c r="H1642" s="335"/>
      <c r="I1642" s="110"/>
      <c r="J1642" s="11"/>
      <c r="K1642" s="103"/>
      <c r="L1642" s="103"/>
      <c r="M1642" s="103"/>
      <c r="N1642" s="103"/>
    </row>
    <row r="1643" spans="1:14">
      <c r="A1643" s="32"/>
      <c r="B1643" s="126"/>
      <c r="C1643" s="81"/>
      <c r="D1643" s="21"/>
      <c r="E1643" s="40"/>
      <c r="F1643" s="30"/>
      <c r="G1643" s="186"/>
      <c r="H1643" s="335"/>
      <c r="I1643" s="110"/>
      <c r="J1643" s="11"/>
      <c r="K1643" s="103"/>
      <c r="L1643" s="103"/>
      <c r="M1643" s="103"/>
      <c r="N1643" s="103"/>
    </row>
    <row r="1644" spans="1:14" ht="63.75">
      <c r="A1644" s="76" t="s">
        <v>652</v>
      </c>
      <c r="B1644" s="360" t="s">
        <v>950</v>
      </c>
      <c r="C1644" s="81"/>
      <c r="D1644" s="21"/>
      <c r="E1644" s="40"/>
      <c r="F1644" s="30"/>
      <c r="G1644" s="186"/>
      <c r="H1644" s="335"/>
      <c r="I1644" s="110"/>
      <c r="J1644" s="11"/>
      <c r="K1644" s="103"/>
      <c r="L1644" s="103"/>
      <c r="M1644" s="103"/>
      <c r="N1644" s="103"/>
    </row>
    <row r="1645" spans="1:14" ht="51">
      <c r="A1645" s="32"/>
      <c r="B1645" s="360" t="s">
        <v>948</v>
      </c>
      <c r="C1645" s="81"/>
      <c r="D1645" s="21"/>
      <c r="E1645" s="40"/>
      <c r="F1645" s="30"/>
      <c r="G1645" s="186"/>
      <c r="H1645" s="335"/>
      <c r="I1645" s="110"/>
      <c r="J1645" s="11"/>
      <c r="K1645" s="103"/>
      <c r="L1645" s="103"/>
      <c r="M1645" s="103"/>
      <c r="N1645" s="103"/>
    </row>
    <row r="1646" spans="1:14" ht="25.5">
      <c r="A1646" s="32"/>
      <c r="B1646" s="17" t="s">
        <v>616</v>
      </c>
      <c r="C1646" s="81"/>
      <c r="D1646" s="21"/>
      <c r="E1646" s="40"/>
      <c r="F1646" s="30"/>
      <c r="G1646" s="186"/>
      <c r="H1646" s="335"/>
      <c r="I1646" s="110"/>
      <c r="J1646" s="11"/>
      <c r="K1646" s="103"/>
      <c r="L1646" s="103"/>
      <c r="M1646" s="103"/>
      <c r="N1646" s="103"/>
    </row>
    <row r="1647" spans="1:14">
      <c r="A1647" s="32"/>
      <c r="B1647" s="360" t="s">
        <v>949</v>
      </c>
      <c r="C1647" s="81"/>
      <c r="D1647" s="21"/>
      <c r="E1647" s="40"/>
      <c r="F1647" s="30"/>
      <c r="G1647" s="186"/>
      <c r="H1647" s="335"/>
      <c r="I1647" s="110"/>
      <c r="J1647" s="11"/>
      <c r="K1647" s="103"/>
      <c r="L1647" s="103"/>
      <c r="M1647" s="103"/>
      <c r="N1647" s="103"/>
    </row>
    <row r="1648" spans="1:14">
      <c r="A1648" s="198"/>
      <c r="B1648" s="287" t="s">
        <v>951</v>
      </c>
      <c r="C1648" s="208" t="s">
        <v>32</v>
      </c>
      <c r="D1648" s="276">
        <f>6+7*4</f>
        <v>34</v>
      </c>
      <c r="E1648" s="334"/>
      <c r="F1648" s="212">
        <f>E1648*D1648</f>
        <v>0</v>
      </c>
      <c r="G1648" s="186"/>
      <c r="H1648" s="335"/>
      <c r="I1648" s="110"/>
      <c r="J1648" s="11"/>
      <c r="K1648" s="103"/>
      <c r="L1648" s="103"/>
      <c r="M1648" s="103"/>
      <c r="N1648" s="103"/>
    </row>
    <row r="1649" spans="1:14">
      <c r="A1649" s="32"/>
      <c r="B1649" s="21"/>
      <c r="C1649" s="81"/>
      <c r="D1649" s="21"/>
      <c r="E1649" s="40"/>
      <c r="F1649" s="30"/>
      <c r="G1649" s="186"/>
      <c r="H1649" s="335"/>
      <c r="I1649" s="110"/>
      <c r="J1649" s="11"/>
      <c r="K1649" s="103"/>
      <c r="L1649" s="103"/>
      <c r="M1649" s="103"/>
      <c r="N1649" s="103"/>
    </row>
    <row r="1650" spans="1:14" ht="140.25">
      <c r="A1650" s="76" t="s">
        <v>965</v>
      </c>
      <c r="B1650" s="27" t="s">
        <v>962</v>
      </c>
      <c r="C1650" s="24"/>
      <c r="D1650" s="23"/>
      <c r="E1650" s="39"/>
      <c r="F1650" s="30"/>
      <c r="G1650" s="186"/>
      <c r="H1650" s="335"/>
      <c r="I1650" s="110"/>
      <c r="J1650" s="11"/>
      <c r="K1650" s="103"/>
      <c r="L1650" s="103"/>
      <c r="M1650" s="103"/>
      <c r="N1650" s="103"/>
    </row>
    <row r="1651" spans="1:14">
      <c r="A1651" s="32"/>
      <c r="B1651" s="27" t="s">
        <v>96</v>
      </c>
      <c r="C1651" s="24"/>
      <c r="D1651" s="23"/>
      <c r="E1651" s="39"/>
      <c r="F1651" s="30"/>
      <c r="G1651" s="186"/>
      <c r="H1651" s="335"/>
      <c r="I1651" s="110"/>
      <c r="J1651" s="11"/>
      <c r="K1651" s="103"/>
      <c r="L1651" s="103"/>
      <c r="M1651" s="103"/>
      <c r="N1651" s="103"/>
    </row>
    <row r="1652" spans="1:14">
      <c r="A1652" s="32"/>
      <c r="B1652" s="27"/>
      <c r="C1652" s="24"/>
      <c r="D1652" s="23"/>
      <c r="E1652" s="39"/>
      <c r="F1652" s="30"/>
      <c r="G1652" s="186"/>
      <c r="H1652" s="335"/>
      <c r="I1652" s="110"/>
      <c r="J1652" s="11"/>
      <c r="K1652" s="103"/>
      <c r="L1652" s="103"/>
      <c r="M1652" s="103"/>
      <c r="N1652" s="103"/>
    </row>
    <row r="1653" spans="1:14">
      <c r="A1653" s="32"/>
      <c r="B1653" s="10" t="s">
        <v>604</v>
      </c>
      <c r="C1653" s="24"/>
      <c r="D1653" s="23"/>
      <c r="E1653" s="39"/>
      <c r="F1653" s="30"/>
      <c r="G1653" s="186"/>
      <c r="H1653" s="335"/>
      <c r="I1653" s="110"/>
      <c r="J1653" s="11"/>
      <c r="K1653" s="103"/>
      <c r="L1653" s="103"/>
      <c r="M1653" s="103"/>
      <c r="N1653" s="103"/>
    </row>
    <row r="1654" spans="1:14">
      <c r="A1654" s="32"/>
      <c r="B1654" s="23" t="s">
        <v>961</v>
      </c>
      <c r="C1654" s="81" t="s">
        <v>39</v>
      </c>
      <c r="D1654" s="21">
        <f>0.52*5</f>
        <v>2.6</v>
      </c>
      <c r="E1654" s="40"/>
      <c r="F1654" s="30">
        <f>E1654*D1654</f>
        <v>0</v>
      </c>
      <c r="G1654" s="193"/>
      <c r="H1654" s="335"/>
      <c r="I1654" s="110"/>
      <c r="J1654" s="11"/>
      <c r="K1654" s="103"/>
      <c r="L1654" s="103"/>
      <c r="M1654" s="103"/>
      <c r="N1654" s="103"/>
    </row>
    <row r="1655" spans="1:14" ht="13.5" thickBot="1">
      <c r="A1655" s="32"/>
      <c r="B1655" s="21"/>
      <c r="C1655" s="81"/>
      <c r="D1655" s="21"/>
      <c r="E1655" s="40"/>
      <c r="F1655" s="30"/>
      <c r="G1655" s="186"/>
      <c r="H1655" s="335"/>
      <c r="I1655" s="110"/>
      <c r="J1655" s="11"/>
      <c r="K1655" s="103"/>
      <c r="L1655" s="103"/>
      <c r="M1655" s="103"/>
      <c r="N1655" s="103"/>
    </row>
    <row r="1656" spans="1:14" ht="15.75" thickBot="1">
      <c r="A1656" s="57" t="str">
        <f>A1540</f>
        <v>11.</v>
      </c>
      <c r="B1656" s="58" t="s">
        <v>60</v>
      </c>
      <c r="C1656" s="59"/>
      <c r="D1656" s="60"/>
      <c r="E1656" s="61"/>
      <c r="F1656" s="52">
        <f>SUM(F1542:F1655)</f>
        <v>0</v>
      </c>
      <c r="G1656" s="396"/>
      <c r="H1656" s="313"/>
      <c r="I1656" s="361"/>
      <c r="J1656" s="361"/>
      <c r="K1656" s="103"/>
    </row>
    <row r="1657" spans="1:14" ht="15.75" thickBot="1">
      <c r="A1657" s="62" t="s">
        <v>73</v>
      </c>
      <c r="B1657" s="72" t="s">
        <v>29</v>
      </c>
      <c r="C1657" s="73"/>
      <c r="D1657" s="74"/>
      <c r="E1657" s="74"/>
      <c r="F1657" s="75"/>
      <c r="G1657" s="186"/>
      <c r="H1657" s="313"/>
      <c r="I1657" s="361"/>
      <c r="J1657" s="361"/>
      <c r="K1657" s="103"/>
    </row>
    <row r="1658" spans="1:14">
      <c r="A1658" s="32"/>
      <c r="B1658" s="22"/>
      <c r="C1658" s="22"/>
      <c r="D1658" s="22"/>
      <c r="E1658" s="84"/>
      <c r="F1658" s="63"/>
      <c r="G1658" s="186"/>
      <c r="I1658" s="110"/>
      <c r="J1658" s="110"/>
      <c r="K1658" s="103"/>
    </row>
    <row r="1659" spans="1:14" ht="51">
      <c r="A1659" s="44" t="s">
        <v>278</v>
      </c>
      <c r="B1659" s="225" t="s">
        <v>668</v>
      </c>
      <c r="C1659" s="13"/>
      <c r="D1659" s="48"/>
      <c r="E1659" s="14"/>
      <c r="F1659" s="31"/>
      <c r="G1659" s="186"/>
      <c r="H1659" s="138"/>
      <c r="I1659" s="103"/>
      <c r="J1659" s="103"/>
      <c r="K1659" s="103"/>
    </row>
    <row r="1660" spans="1:14" ht="38.25">
      <c r="A1660" s="42"/>
      <c r="B1660" s="225" t="s">
        <v>669</v>
      </c>
      <c r="C1660" s="13"/>
      <c r="D1660" s="48"/>
      <c r="E1660" s="14"/>
      <c r="F1660" s="31"/>
      <c r="G1660" s="186"/>
      <c r="H1660" s="138"/>
      <c r="I1660" s="103"/>
      <c r="J1660" s="103"/>
      <c r="K1660" s="103"/>
    </row>
    <row r="1661" spans="1:14" ht="25.5">
      <c r="A1661" s="42"/>
      <c r="B1661" s="225" t="s">
        <v>670</v>
      </c>
      <c r="C1661" s="13"/>
      <c r="D1661" s="48"/>
      <c r="E1661" s="14"/>
      <c r="F1661" s="31"/>
      <c r="G1661" s="186"/>
      <c r="H1661" s="138"/>
      <c r="I1661" s="103"/>
      <c r="J1661" s="112"/>
      <c r="K1661" s="103"/>
    </row>
    <row r="1662" spans="1:14" ht="25.5">
      <c r="A1662" s="42"/>
      <c r="B1662" s="225" t="s">
        <v>671</v>
      </c>
      <c r="C1662" s="13"/>
      <c r="D1662" s="48"/>
      <c r="E1662" s="14"/>
      <c r="F1662" s="31"/>
      <c r="G1662" s="186"/>
      <c r="H1662" s="138"/>
      <c r="I1662" s="103"/>
      <c r="J1662" s="103"/>
      <c r="K1662" s="103"/>
    </row>
    <row r="1663" spans="1:14" ht="25.5">
      <c r="A1663" s="42"/>
      <c r="B1663" s="225" t="s">
        <v>672</v>
      </c>
      <c r="C1663" s="13"/>
      <c r="D1663" s="48"/>
      <c r="E1663" s="14"/>
      <c r="F1663" s="31"/>
      <c r="G1663" s="186"/>
      <c r="H1663" s="138"/>
      <c r="I1663" s="103"/>
      <c r="J1663" s="103"/>
      <c r="K1663" s="103"/>
    </row>
    <row r="1664" spans="1:14">
      <c r="A1664" s="42"/>
      <c r="B1664" s="225" t="s">
        <v>673</v>
      </c>
      <c r="C1664" s="13"/>
      <c r="D1664" s="48"/>
      <c r="E1664" s="14"/>
      <c r="F1664" s="31"/>
      <c r="G1664" s="186"/>
      <c r="H1664" s="138"/>
      <c r="I1664" s="103"/>
      <c r="J1664" s="103"/>
      <c r="K1664" s="103"/>
    </row>
    <row r="1665" spans="1:14">
      <c r="A1665" s="42"/>
      <c r="B1665" s="225"/>
      <c r="C1665" s="13"/>
      <c r="D1665" s="48"/>
      <c r="E1665" s="14"/>
      <c r="F1665" s="31"/>
      <c r="G1665" s="186"/>
      <c r="H1665" s="138"/>
      <c r="I1665" s="103"/>
      <c r="J1665" s="103"/>
      <c r="K1665" s="103"/>
    </row>
    <row r="1666" spans="1:14" ht="38.25">
      <c r="A1666" s="108" t="s">
        <v>155</v>
      </c>
      <c r="B1666" s="225" t="s">
        <v>736</v>
      </c>
      <c r="C1666" s="81"/>
      <c r="D1666" s="26"/>
      <c r="E1666" s="19"/>
      <c r="F1666" s="31"/>
      <c r="G1666" s="186"/>
      <c r="H1666" s="132"/>
      <c r="I1666" s="103"/>
      <c r="J1666" s="103"/>
      <c r="K1666" s="103"/>
    </row>
    <row r="1667" spans="1:14">
      <c r="A1667" s="108"/>
      <c r="B1667" s="112"/>
      <c r="C1667" s="81"/>
      <c r="D1667" s="26"/>
      <c r="E1667" s="19"/>
      <c r="F1667" s="31"/>
      <c r="G1667" s="186"/>
      <c r="H1667" s="132"/>
      <c r="I1667" s="103"/>
      <c r="J1667" s="103"/>
      <c r="K1667" s="103"/>
    </row>
    <row r="1668" spans="1:14">
      <c r="A1668" s="42"/>
      <c r="B1668" s="22" t="s">
        <v>27</v>
      </c>
      <c r="C1668" s="22"/>
      <c r="D1668" s="22"/>
      <c r="E1668" s="22"/>
      <c r="F1668" s="30"/>
      <c r="G1668" s="323"/>
      <c r="I1668" s="103"/>
      <c r="J1668" s="112"/>
      <c r="K1668" s="103"/>
    </row>
    <row r="1669" spans="1:14" ht="38.25">
      <c r="A1669" s="42"/>
      <c r="B1669" s="23" t="s">
        <v>969</v>
      </c>
      <c r="C1669" s="22"/>
      <c r="D1669" s="80">
        <f>4.27+5.58+1.59+4.61+5.55+1.73+4.3+4.18+3.96+4.26+4.33+5.39+1.59+4.67+4.4+2.54</f>
        <v>62.95</v>
      </c>
      <c r="E1669" s="22"/>
      <c r="F1669" s="30"/>
      <c r="G1669" s="323"/>
      <c r="I1669" s="103"/>
      <c r="J1669" s="112"/>
      <c r="K1669" s="103"/>
    </row>
    <row r="1670" spans="1:14">
      <c r="A1670" s="42"/>
      <c r="B1670" s="22"/>
      <c r="C1670" s="22"/>
      <c r="D1670" s="22"/>
      <c r="E1670" s="22"/>
      <c r="F1670" s="31"/>
      <c r="G1670" s="186"/>
      <c r="I1670" s="103"/>
      <c r="J1670" s="89"/>
      <c r="K1670" s="103"/>
    </row>
    <row r="1671" spans="1:14">
      <c r="A1671" s="42"/>
      <c r="B1671" s="22" t="s">
        <v>360</v>
      </c>
      <c r="C1671" s="22"/>
      <c r="D1671" s="22"/>
      <c r="E1671" s="22"/>
      <c r="F1671" s="31"/>
      <c r="G1671" s="186"/>
      <c r="I1671" s="103"/>
      <c r="J1671" s="105"/>
      <c r="K1671" s="103"/>
    </row>
    <row r="1672" spans="1:14" ht="38.25">
      <c r="A1672" s="42"/>
      <c r="B1672" s="23" t="s">
        <v>966</v>
      </c>
      <c r="C1672" s="22"/>
      <c r="D1672" s="78">
        <f>4.257+5.58+1.59+3.92+4.2+3.97+4.14+4.3+4.18+3.96+4.26+4.33+5.39+1.59+4.67+4.4</f>
        <v>64.737000000000009</v>
      </c>
      <c r="E1672" s="22"/>
      <c r="F1672" s="31"/>
      <c r="G1672" s="186"/>
      <c r="I1672" s="103"/>
      <c r="J1672" s="105"/>
      <c r="K1672" s="103"/>
    </row>
    <row r="1673" spans="1:14">
      <c r="A1673" s="42"/>
      <c r="B1673" s="22"/>
      <c r="C1673" s="22"/>
      <c r="D1673" s="78"/>
      <c r="E1673" s="22"/>
      <c r="F1673" s="31"/>
      <c r="G1673" s="186"/>
      <c r="I1673" s="103"/>
      <c r="J1673" s="105"/>
      <c r="K1673" s="103"/>
    </row>
    <row r="1674" spans="1:14">
      <c r="A1674" s="42"/>
      <c r="B1674" s="22" t="s">
        <v>361</v>
      </c>
      <c r="C1674" s="22"/>
      <c r="D1674" s="80"/>
      <c r="E1674" s="22"/>
      <c r="F1674" s="30"/>
      <c r="G1674" s="186"/>
      <c r="I1674" s="103"/>
      <c r="J1674" s="105"/>
      <c r="K1674" s="103"/>
    </row>
    <row r="1675" spans="1:14" ht="38.25">
      <c r="A1675" s="42"/>
      <c r="B1675" s="23" t="s">
        <v>967</v>
      </c>
      <c r="C1675" s="22"/>
      <c r="D1675" s="78">
        <f>(4.257+5.58+1.59+3.92+4.2+3.97+4.14+4.3+4.18+3.96+4.26+4.33+5.39+1.59+4.67+4.4)*3</f>
        <v>194.21100000000001</v>
      </c>
      <c r="E1675" s="22"/>
      <c r="F1675" s="30"/>
      <c r="G1675" s="186"/>
      <c r="I1675" s="103"/>
      <c r="J1675" s="105"/>
      <c r="K1675" s="103"/>
    </row>
    <row r="1676" spans="1:14">
      <c r="A1676" s="42"/>
      <c r="B1676" s="23"/>
      <c r="C1676" s="22"/>
      <c r="D1676" s="78"/>
      <c r="E1676" s="22"/>
      <c r="F1676" s="30"/>
      <c r="G1676" s="186"/>
      <c r="I1676" s="103"/>
      <c r="J1676" s="105"/>
      <c r="K1676" s="103"/>
    </row>
    <row r="1677" spans="1:14">
      <c r="A1677" s="42"/>
      <c r="B1677" s="16" t="s">
        <v>654</v>
      </c>
      <c r="C1677" s="13" t="s">
        <v>38</v>
      </c>
      <c r="D1677" s="21">
        <f>SUM(D1666:D1676)</f>
        <v>321.89800000000002</v>
      </c>
      <c r="E1677" s="10"/>
      <c r="F1677" s="30">
        <f>+D1677*E1677</f>
        <v>0</v>
      </c>
      <c r="G1677" s="193"/>
      <c r="H1677" s="9"/>
      <c r="I1677" s="103"/>
      <c r="J1677" s="103"/>
      <c r="K1677" s="103"/>
    </row>
    <row r="1678" spans="1:14">
      <c r="A1678" s="37"/>
      <c r="B1678" s="21"/>
      <c r="C1678" s="13"/>
      <c r="D1678" s="21"/>
      <c r="E1678" s="10"/>
      <c r="F1678" s="30"/>
      <c r="G1678" s="186"/>
      <c r="H1678" s="9"/>
      <c r="I1678" s="103"/>
      <c r="J1678" s="103"/>
      <c r="K1678" s="103"/>
      <c r="L1678" s="103"/>
      <c r="M1678" s="103"/>
      <c r="N1678" s="103"/>
    </row>
    <row r="1679" spans="1:14" ht="25.5">
      <c r="A1679" s="108" t="s">
        <v>156</v>
      </c>
      <c r="B1679" s="225" t="s">
        <v>1155</v>
      </c>
      <c r="C1679" s="81"/>
      <c r="D1679" s="26"/>
      <c r="E1679" s="19"/>
      <c r="F1679" s="31"/>
      <c r="G1679" s="186"/>
      <c r="I1679" s="103"/>
      <c r="J1679" s="103"/>
      <c r="K1679" s="103"/>
      <c r="L1679" s="103"/>
      <c r="M1679" s="103"/>
      <c r="N1679" s="103"/>
    </row>
    <row r="1680" spans="1:14">
      <c r="A1680" s="37"/>
      <c r="B1680" s="12"/>
      <c r="C1680" s="81"/>
      <c r="D1680" s="26"/>
      <c r="E1680" s="19"/>
      <c r="F1680" s="31"/>
      <c r="G1680" s="186"/>
      <c r="H1680" s="9"/>
      <c r="I1680" s="103"/>
      <c r="J1680" s="103"/>
      <c r="K1680" s="103"/>
      <c r="L1680" s="103"/>
      <c r="M1680" s="103"/>
      <c r="N1680" s="103"/>
    </row>
    <row r="1681" spans="1:14">
      <c r="A1681" s="37"/>
      <c r="B1681" s="22" t="s">
        <v>27</v>
      </c>
      <c r="C1681" s="22"/>
      <c r="D1681" s="22"/>
      <c r="E1681" s="22"/>
      <c r="F1681" s="30"/>
      <c r="G1681" s="186"/>
      <c r="H1681" s="9"/>
      <c r="I1681" s="103"/>
      <c r="J1681" s="103"/>
      <c r="K1681" s="103"/>
      <c r="L1681" s="103"/>
      <c r="M1681" s="103"/>
      <c r="N1681" s="103"/>
    </row>
    <row r="1682" spans="1:14">
      <c r="A1682" s="37"/>
      <c r="B1682" s="23" t="s">
        <v>968</v>
      </c>
      <c r="C1682" s="22"/>
      <c r="D1682" s="80">
        <f>11.97+30.3+4.22</f>
        <v>46.49</v>
      </c>
      <c r="E1682" s="22"/>
      <c r="F1682" s="30"/>
      <c r="G1682" s="186"/>
      <c r="H1682" s="9"/>
      <c r="I1682" s="103"/>
      <c r="J1682" s="103"/>
      <c r="K1682" s="103"/>
      <c r="L1682" s="103"/>
      <c r="M1682" s="103"/>
      <c r="N1682" s="103"/>
    </row>
    <row r="1683" spans="1:14">
      <c r="A1683" s="37"/>
      <c r="B1683" s="22"/>
      <c r="C1683" s="22"/>
      <c r="D1683" s="22"/>
      <c r="E1683" s="22"/>
      <c r="F1683" s="31"/>
      <c r="G1683" s="186"/>
      <c r="H1683" s="9"/>
      <c r="I1683" s="103"/>
      <c r="J1683" s="103"/>
      <c r="K1683" s="103"/>
      <c r="L1683" s="103"/>
      <c r="M1683" s="103"/>
      <c r="N1683" s="103"/>
    </row>
    <row r="1684" spans="1:14">
      <c r="A1684" s="37"/>
      <c r="B1684" s="22" t="s">
        <v>360</v>
      </c>
      <c r="C1684" s="22"/>
      <c r="D1684" s="22"/>
      <c r="E1684" s="22"/>
      <c r="F1684" s="31"/>
      <c r="G1684" s="186"/>
      <c r="H1684" s="9"/>
      <c r="I1684" s="103"/>
      <c r="J1684" s="103"/>
      <c r="K1684" s="103"/>
      <c r="L1684" s="103"/>
      <c r="M1684" s="103"/>
      <c r="N1684" s="103"/>
    </row>
    <row r="1685" spans="1:14">
      <c r="A1685" s="37"/>
      <c r="B1685" s="23" t="s">
        <v>970</v>
      </c>
      <c r="C1685" s="22"/>
      <c r="D1685" s="78">
        <f>37.34+2.85*1.31</f>
        <v>41.073500000000003</v>
      </c>
      <c r="E1685" s="22"/>
      <c r="F1685" s="31"/>
      <c r="G1685" s="186"/>
      <c r="H1685" s="9"/>
      <c r="I1685" s="103"/>
      <c r="J1685" s="103"/>
      <c r="K1685" s="103"/>
      <c r="L1685" s="103"/>
      <c r="M1685" s="103"/>
      <c r="N1685" s="103"/>
    </row>
    <row r="1686" spans="1:14">
      <c r="A1686" s="37"/>
      <c r="B1686" s="22"/>
      <c r="C1686" s="22"/>
      <c r="D1686" s="78"/>
      <c r="E1686" s="22"/>
      <c r="F1686" s="31"/>
      <c r="G1686" s="186"/>
      <c r="H1686" s="9"/>
      <c r="I1686" s="103"/>
      <c r="J1686" s="103"/>
      <c r="K1686" s="103"/>
      <c r="L1686" s="103"/>
      <c r="M1686" s="103"/>
      <c r="N1686" s="103"/>
    </row>
    <row r="1687" spans="1:14">
      <c r="A1687" s="37"/>
      <c r="B1687" s="22" t="s">
        <v>361</v>
      </c>
      <c r="C1687" s="22"/>
      <c r="D1687" s="80"/>
      <c r="E1687" s="22"/>
      <c r="F1687" s="30"/>
      <c r="G1687" s="186"/>
      <c r="H1687" s="9"/>
      <c r="I1687" s="103"/>
      <c r="J1687" s="103"/>
      <c r="K1687" s="103"/>
      <c r="L1687" s="103"/>
      <c r="M1687" s="103"/>
      <c r="N1687" s="103"/>
    </row>
    <row r="1688" spans="1:14">
      <c r="A1688" s="37"/>
      <c r="B1688" s="23" t="s">
        <v>971</v>
      </c>
      <c r="C1688" s="22"/>
      <c r="D1688" s="78">
        <f>(37.34+2.85*1.31)*3</f>
        <v>123.22050000000002</v>
      </c>
      <c r="E1688" s="22"/>
      <c r="F1688" s="30"/>
      <c r="G1688" s="186"/>
      <c r="H1688" s="9"/>
      <c r="I1688" s="103"/>
      <c r="J1688" s="103"/>
      <c r="K1688" s="103"/>
      <c r="L1688" s="103"/>
      <c r="M1688" s="103"/>
      <c r="N1688" s="103"/>
    </row>
    <row r="1689" spans="1:14">
      <c r="A1689" s="37"/>
      <c r="B1689" s="23"/>
      <c r="C1689" s="22"/>
      <c r="D1689" s="78"/>
      <c r="E1689" s="22"/>
      <c r="F1689" s="30"/>
      <c r="G1689" s="186"/>
      <c r="H1689" s="9"/>
      <c r="I1689" s="103"/>
      <c r="J1689" s="103"/>
      <c r="K1689" s="103"/>
      <c r="L1689" s="103"/>
      <c r="M1689" s="103"/>
      <c r="N1689" s="103"/>
    </row>
    <row r="1690" spans="1:14">
      <c r="A1690" s="286"/>
      <c r="B1690" s="207" t="s">
        <v>655</v>
      </c>
      <c r="C1690" s="221" t="s">
        <v>38</v>
      </c>
      <c r="D1690" s="287">
        <f>SUM(D1679:D1689)</f>
        <v>210.78400000000002</v>
      </c>
      <c r="E1690" s="215"/>
      <c r="F1690" s="212">
        <f>+D1690*E1690</f>
        <v>0</v>
      </c>
      <c r="G1690" s="193"/>
      <c r="H1690" s="9"/>
      <c r="I1690" s="103"/>
      <c r="J1690" s="103"/>
      <c r="K1690" s="103"/>
      <c r="L1690" s="103"/>
      <c r="M1690" s="103"/>
      <c r="N1690" s="103"/>
    </row>
    <row r="1691" spans="1:14">
      <c r="A1691" s="37"/>
      <c r="B1691" s="21"/>
      <c r="C1691" s="13"/>
      <c r="D1691" s="21"/>
      <c r="E1691" s="10"/>
      <c r="F1691" s="30"/>
      <c r="G1691" s="186"/>
      <c r="H1691" s="9"/>
      <c r="I1691" s="103"/>
      <c r="J1691" s="103"/>
      <c r="K1691" s="103"/>
      <c r="L1691" s="103"/>
      <c r="M1691" s="103"/>
      <c r="N1691" s="103"/>
    </row>
    <row r="1692" spans="1:14">
      <c r="A1692" s="108" t="s">
        <v>656</v>
      </c>
      <c r="B1692" s="225" t="s">
        <v>1156</v>
      </c>
      <c r="C1692" s="81"/>
      <c r="D1692" s="26"/>
      <c r="E1692" s="19"/>
      <c r="F1692" s="31"/>
      <c r="G1692" s="186"/>
      <c r="H1692" s="9"/>
      <c r="I1692" s="103"/>
      <c r="J1692" s="103"/>
      <c r="K1692" s="103"/>
      <c r="L1692" s="103"/>
      <c r="M1692" s="103"/>
      <c r="N1692" s="103"/>
    </row>
    <row r="1693" spans="1:14">
      <c r="A1693" s="37"/>
      <c r="B1693" s="12"/>
      <c r="C1693" s="81"/>
      <c r="D1693" s="26"/>
      <c r="E1693" s="19"/>
      <c r="F1693" s="31"/>
      <c r="G1693" s="186"/>
      <c r="H1693" s="9"/>
      <c r="I1693" s="103"/>
      <c r="J1693" s="103"/>
      <c r="K1693" s="103"/>
      <c r="L1693" s="103"/>
      <c r="M1693" s="103"/>
      <c r="N1693" s="103"/>
    </row>
    <row r="1694" spans="1:14">
      <c r="A1694" s="37"/>
      <c r="B1694" s="22" t="s">
        <v>27</v>
      </c>
      <c r="C1694" s="22"/>
      <c r="D1694" s="22"/>
      <c r="E1694" s="22"/>
      <c r="F1694" s="30"/>
      <c r="G1694" s="186"/>
      <c r="H1694" s="9"/>
      <c r="I1694" s="103"/>
      <c r="J1694" s="103"/>
      <c r="K1694" s="103"/>
      <c r="L1694" s="103"/>
      <c r="M1694" s="103"/>
      <c r="N1694" s="103"/>
    </row>
    <row r="1695" spans="1:14">
      <c r="A1695" s="37"/>
      <c r="B1695" s="23" t="s">
        <v>972</v>
      </c>
      <c r="C1695" s="22"/>
      <c r="D1695" s="80">
        <f>4.68+3.78*3+4.45+3.37</f>
        <v>23.84</v>
      </c>
      <c r="E1695" s="22"/>
      <c r="F1695" s="30"/>
      <c r="G1695" s="186"/>
      <c r="H1695" s="9"/>
      <c r="I1695" s="103"/>
      <c r="J1695" s="103"/>
      <c r="K1695" s="103"/>
      <c r="L1695" s="103"/>
      <c r="M1695" s="103"/>
      <c r="N1695" s="103"/>
    </row>
    <row r="1696" spans="1:14">
      <c r="A1696" s="37"/>
      <c r="B1696" s="22"/>
      <c r="C1696" s="22"/>
      <c r="D1696" s="22"/>
      <c r="E1696" s="22"/>
      <c r="F1696" s="31"/>
      <c r="G1696" s="186"/>
      <c r="H1696" s="9"/>
      <c r="I1696" s="103"/>
      <c r="J1696" s="103"/>
      <c r="K1696" s="103"/>
      <c r="L1696" s="103"/>
      <c r="M1696" s="103"/>
      <c r="N1696" s="103"/>
    </row>
    <row r="1697" spans="1:14">
      <c r="A1697" s="37"/>
      <c r="B1697" s="22" t="s">
        <v>360</v>
      </c>
      <c r="C1697" s="22"/>
      <c r="D1697" s="22"/>
      <c r="E1697" s="22"/>
      <c r="F1697" s="31"/>
      <c r="G1697" s="186"/>
      <c r="H1697" s="9"/>
      <c r="I1697" s="103"/>
      <c r="J1697" s="103"/>
      <c r="K1697" s="103"/>
      <c r="L1697" s="103"/>
      <c r="M1697" s="103"/>
      <c r="N1697" s="103"/>
    </row>
    <row r="1698" spans="1:14">
      <c r="A1698" s="37"/>
      <c r="B1698" s="23" t="s">
        <v>848</v>
      </c>
      <c r="C1698" s="22"/>
      <c r="D1698" s="78">
        <f>4.68+3.78*4+4.45+3.37</f>
        <v>27.619999999999997</v>
      </c>
      <c r="E1698" s="22"/>
      <c r="F1698" s="31"/>
      <c r="G1698" s="186"/>
      <c r="H1698" s="9"/>
      <c r="I1698" s="103"/>
      <c r="J1698" s="103"/>
      <c r="K1698" s="103"/>
      <c r="L1698" s="103"/>
      <c r="M1698" s="103"/>
      <c r="N1698" s="103"/>
    </row>
    <row r="1699" spans="1:14">
      <c r="A1699" s="37"/>
      <c r="B1699" s="22"/>
      <c r="C1699" s="22"/>
      <c r="D1699" s="78"/>
      <c r="E1699" s="22"/>
      <c r="F1699" s="31"/>
      <c r="G1699" s="186"/>
      <c r="H1699" s="9"/>
      <c r="I1699" s="103"/>
      <c r="J1699" s="103"/>
      <c r="K1699" s="103"/>
      <c r="L1699" s="103"/>
      <c r="M1699" s="103"/>
      <c r="N1699" s="103"/>
    </row>
    <row r="1700" spans="1:14">
      <c r="A1700" s="37"/>
      <c r="B1700" s="22" t="s">
        <v>361</v>
      </c>
      <c r="C1700" s="22"/>
      <c r="D1700" s="80"/>
      <c r="E1700" s="22"/>
      <c r="F1700" s="30"/>
      <c r="G1700" s="186"/>
      <c r="H1700" s="9"/>
      <c r="I1700" s="103"/>
      <c r="J1700" s="103"/>
      <c r="K1700" s="103"/>
      <c r="L1700" s="103"/>
      <c r="M1700" s="103"/>
      <c r="N1700" s="103"/>
    </row>
    <row r="1701" spans="1:14">
      <c r="A1701" s="37"/>
      <c r="B1701" s="23" t="s">
        <v>973</v>
      </c>
      <c r="C1701" s="22"/>
      <c r="D1701" s="78">
        <f>(4.68+3.78*4+4.45+3.37)*3</f>
        <v>82.859999999999985</v>
      </c>
      <c r="E1701" s="22"/>
      <c r="F1701" s="30"/>
      <c r="G1701" s="186"/>
      <c r="H1701" s="9"/>
      <c r="I1701" s="103"/>
      <c r="J1701" s="103"/>
      <c r="K1701" s="103"/>
      <c r="L1701" s="103"/>
      <c r="M1701" s="103"/>
      <c r="N1701" s="103"/>
    </row>
    <row r="1702" spans="1:14">
      <c r="A1702" s="37"/>
      <c r="B1702" s="23"/>
      <c r="C1702" s="22"/>
      <c r="D1702" s="78"/>
      <c r="E1702" s="22"/>
      <c r="F1702" s="30"/>
      <c r="G1702" s="186"/>
      <c r="H1702" s="9"/>
      <c r="I1702" s="103"/>
      <c r="J1702" s="103"/>
      <c r="K1702" s="103"/>
      <c r="L1702" s="103"/>
      <c r="M1702" s="103"/>
      <c r="N1702" s="103"/>
    </row>
    <row r="1703" spans="1:14">
      <c r="A1703" s="37"/>
      <c r="B1703" s="16" t="s">
        <v>657</v>
      </c>
      <c r="C1703" s="13" t="s">
        <v>38</v>
      </c>
      <c r="D1703" s="21">
        <f>SUM(D1692:D1702)</f>
        <v>134.32</v>
      </c>
      <c r="E1703" s="10"/>
      <c r="F1703" s="30">
        <f>+D1703*E1703</f>
        <v>0</v>
      </c>
      <c r="G1703" s="193"/>
      <c r="H1703" s="9"/>
      <c r="I1703" s="103"/>
      <c r="J1703" s="103"/>
      <c r="K1703" s="103"/>
      <c r="L1703" s="103"/>
      <c r="M1703" s="103"/>
      <c r="N1703" s="103"/>
    </row>
    <row r="1704" spans="1:14">
      <c r="A1704" s="37"/>
      <c r="B1704" s="21"/>
      <c r="C1704" s="13"/>
      <c r="D1704" s="21"/>
      <c r="E1704" s="10"/>
      <c r="F1704" s="30"/>
      <c r="G1704" s="186"/>
      <c r="H1704" s="9"/>
      <c r="I1704" s="103"/>
      <c r="J1704" s="103"/>
      <c r="K1704" s="103"/>
      <c r="L1704" s="103"/>
      <c r="M1704" s="103"/>
      <c r="N1704" s="103"/>
    </row>
    <row r="1705" spans="1:14" ht="25.5">
      <c r="A1705" s="108" t="s">
        <v>1191</v>
      </c>
      <c r="B1705" s="225" t="s">
        <v>1208</v>
      </c>
      <c r="C1705" s="13"/>
      <c r="D1705" s="21"/>
      <c r="E1705" s="10"/>
      <c r="F1705" s="30"/>
      <c r="G1705" s="186"/>
      <c r="H1705" s="9"/>
      <c r="I1705" s="103"/>
      <c r="J1705" s="103"/>
      <c r="K1705" s="103"/>
      <c r="L1705" s="103"/>
      <c r="M1705" s="103"/>
      <c r="N1705" s="103"/>
    </row>
    <row r="1706" spans="1:14">
      <c r="A1706" s="37"/>
      <c r="B1706" s="28" t="s">
        <v>1192</v>
      </c>
      <c r="C1706" s="13" t="s">
        <v>38</v>
      </c>
      <c r="D1706" s="28">
        <f>2.1*1.1</f>
        <v>2.3100000000000005</v>
      </c>
      <c r="E1706" s="10"/>
      <c r="F1706" s="30">
        <f>E1706*D1706</f>
        <v>0</v>
      </c>
      <c r="G1706" s="193"/>
      <c r="H1706" s="9"/>
      <c r="I1706" s="103"/>
      <c r="J1706" s="103"/>
      <c r="K1706" s="103"/>
      <c r="L1706" s="103"/>
      <c r="M1706" s="103"/>
      <c r="N1706" s="103"/>
    </row>
    <row r="1707" spans="1:14">
      <c r="A1707" s="37"/>
      <c r="B1707" s="21"/>
      <c r="C1707" s="13"/>
      <c r="D1707" s="21"/>
      <c r="E1707" s="10"/>
      <c r="F1707" s="30"/>
      <c r="G1707" s="186"/>
      <c r="H1707" s="9"/>
      <c r="I1707" s="103"/>
      <c r="J1707" s="103"/>
      <c r="K1707" s="103"/>
      <c r="L1707" s="103"/>
      <c r="M1707" s="103"/>
      <c r="N1707" s="103"/>
    </row>
    <row r="1708" spans="1:14" ht="38.25">
      <c r="A1708" s="44" t="s">
        <v>154</v>
      </c>
      <c r="B1708" s="33" t="s">
        <v>674</v>
      </c>
      <c r="C1708" s="13"/>
      <c r="D1708" s="45"/>
      <c r="E1708" s="16"/>
      <c r="F1708" s="31"/>
      <c r="G1708" s="186"/>
      <c r="H1708" s="8"/>
      <c r="I1708" s="103"/>
      <c r="J1708" s="103"/>
      <c r="K1708" s="103"/>
    </row>
    <row r="1709" spans="1:14" ht="76.5">
      <c r="A1709" s="42"/>
      <c r="B1709" s="33" t="s">
        <v>675</v>
      </c>
      <c r="C1709" s="13"/>
      <c r="D1709" s="45"/>
      <c r="E1709" s="16"/>
      <c r="F1709" s="31"/>
      <c r="G1709" s="186"/>
      <c r="H1709" s="8"/>
      <c r="I1709" s="103"/>
      <c r="J1709" s="103"/>
      <c r="K1709" s="103"/>
    </row>
    <row r="1710" spans="1:14" s="103" customFormat="1">
      <c r="A1710" s="42"/>
      <c r="B1710" s="12" t="s">
        <v>96</v>
      </c>
      <c r="C1710" s="13"/>
      <c r="D1710" s="45"/>
      <c r="E1710" s="16"/>
      <c r="F1710" s="31"/>
      <c r="G1710" s="411"/>
      <c r="H1710" s="8"/>
      <c r="I1710" s="362"/>
    </row>
    <row r="1711" spans="1:14" s="103" customFormat="1">
      <c r="A1711" s="42"/>
      <c r="B1711" s="12"/>
      <c r="C1711" s="13"/>
      <c r="D1711" s="45"/>
      <c r="E1711" s="16"/>
      <c r="F1711" s="31"/>
      <c r="G1711" s="411"/>
      <c r="H1711" s="8"/>
      <c r="I1711" s="362"/>
    </row>
    <row r="1712" spans="1:14" ht="25.5">
      <c r="A1712" s="108" t="s">
        <v>293</v>
      </c>
      <c r="B1712" s="363" t="s">
        <v>609</v>
      </c>
      <c r="C1712" s="13"/>
      <c r="D1712" s="45"/>
      <c r="E1712" s="16"/>
      <c r="F1712" s="31"/>
      <c r="G1712" s="186"/>
      <c r="H1712" s="8"/>
      <c r="I1712" s="103"/>
      <c r="J1712" s="103"/>
      <c r="K1712" s="103"/>
    </row>
    <row r="1713" spans="1:14">
      <c r="A1713" s="42"/>
      <c r="B1713" s="46"/>
      <c r="C1713" s="13"/>
      <c r="D1713" s="45"/>
      <c r="E1713" s="16"/>
      <c r="F1713" s="31"/>
      <c r="G1713" s="186"/>
      <c r="H1713" s="8"/>
      <c r="I1713" s="103"/>
      <c r="J1713" s="103"/>
      <c r="K1713" s="103"/>
    </row>
    <row r="1714" spans="1:14">
      <c r="A1714" s="42"/>
      <c r="B1714" s="22" t="s">
        <v>27</v>
      </c>
      <c r="C1714" s="22"/>
      <c r="D1714" s="22"/>
      <c r="E1714" s="16"/>
      <c r="F1714" s="31"/>
      <c r="G1714" s="186"/>
      <c r="H1714" s="8"/>
      <c r="I1714" s="103"/>
      <c r="J1714" s="103"/>
      <c r="K1714" s="103"/>
    </row>
    <row r="1715" spans="1:14">
      <c r="A1715" s="42"/>
      <c r="B1715" s="23" t="s">
        <v>975</v>
      </c>
      <c r="C1715" s="22"/>
      <c r="D1715" s="80">
        <f>10.33+9.81+8.54+7.72+10+8.8</f>
        <v>55.2</v>
      </c>
      <c r="E1715" s="16"/>
      <c r="F1715" s="31"/>
      <c r="G1715" s="186"/>
      <c r="H1715" s="8"/>
      <c r="I1715" s="103"/>
      <c r="J1715" s="103"/>
      <c r="K1715" s="103"/>
    </row>
    <row r="1716" spans="1:14">
      <c r="A1716" s="42"/>
      <c r="B1716" s="22"/>
      <c r="C1716" s="22"/>
      <c r="D1716" s="22"/>
      <c r="E1716" s="16"/>
      <c r="F1716" s="31"/>
      <c r="G1716" s="186"/>
      <c r="H1716" s="8"/>
      <c r="I1716" s="103"/>
      <c r="J1716" s="103"/>
      <c r="K1716" s="103"/>
    </row>
    <row r="1717" spans="1:14">
      <c r="A1717" s="42"/>
      <c r="B1717" s="22" t="s">
        <v>360</v>
      </c>
      <c r="C1717" s="22"/>
      <c r="D1717" s="22"/>
      <c r="E1717" s="16"/>
      <c r="F1717" s="31"/>
      <c r="G1717" s="186"/>
      <c r="H1717" s="8"/>
      <c r="I1717" s="103"/>
      <c r="J1717" s="103"/>
      <c r="K1717" s="103"/>
    </row>
    <row r="1718" spans="1:14">
      <c r="A1718" s="42"/>
      <c r="B1718" s="23" t="s">
        <v>976</v>
      </c>
      <c r="C1718" s="22"/>
      <c r="D1718" s="78">
        <f>10.33+8.6+8.52+8.54+8.82+10+8.79</f>
        <v>63.599999999999994</v>
      </c>
      <c r="E1718" s="16"/>
      <c r="F1718" s="31"/>
      <c r="G1718" s="186"/>
      <c r="H1718" s="8"/>
      <c r="I1718" s="103"/>
      <c r="J1718" s="103"/>
      <c r="K1718" s="103"/>
    </row>
    <row r="1719" spans="1:14">
      <c r="A1719" s="42"/>
      <c r="B1719" s="22"/>
      <c r="C1719" s="22"/>
      <c r="D1719" s="78"/>
      <c r="E1719" s="16"/>
      <c r="F1719" s="31"/>
      <c r="G1719" s="186"/>
      <c r="H1719" s="8"/>
      <c r="I1719" s="103"/>
      <c r="J1719" s="103"/>
      <c r="K1719" s="103"/>
    </row>
    <row r="1720" spans="1:14">
      <c r="A1720" s="42"/>
      <c r="B1720" s="22" t="s">
        <v>361</v>
      </c>
      <c r="C1720" s="22"/>
      <c r="D1720" s="80"/>
      <c r="E1720" s="16"/>
      <c r="F1720" s="31"/>
      <c r="G1720" s="186"/>
      <c r="H1720" s="8"/>
      <c r="I1720" s="103"/>
      <c r="J1720" s="103"/>
      <c r="K1720" s="103"/>
    </row>
    <row r="1721" spans="1:14" s="103" customFormat="1" ht="25.5">
      <c r="A1721" s="42"/>
      <c r="B1721" s="23" t="s">
        <v>977</v>
      </c>
      <c r="C1721" s="22"/>
      <c r="D1721" s="78">
        <f>(10.33+8.6+8.52+8.54+8.82+10+8.79)*3</f>
        <v>190.79999999999998</v>
      </c>
      <c r="E1721" s="16"/>
      <c r="F1721" s="31"/>
      <c r="G1721" s="186"/>
      <c r="H1721" s="8"/>
      <c r="L1721" s="6"/>
      <c r="M1721" s="6"/>
      <c r="N1721" s="6"/>
    </row>
    <row r="1722" spans="1:14" s="103" customFormat="1">
      <c r="A1722" s="42"/>
      <c r="B1722" s="23"/>
      <c r="C1722" s="22"/>
      <c r="D1722" s="78"/>
      <c r="E1722" s="16"/>
      <c r="F1722" s="31"/>
      <c r="G1722" s="186"/>
      <c r="H1722" s="8"/>
      <c r="L1722" s="6"/>
      <c r="M1722" s="6"/>
      <c r="N1722" s="6"/>
    </row>
    <row r="1723" spans="1:14">
      <c r="A1723" s="277"/>
      <c r="B1723" s="364" t="s">
        <v>296</v>
      </c>
      <c r="C1723" s="221" t="s">
        <v>39</v>
      </c>
      <c r="D1723" s="365">
        <f>SUM(D1714:D1721)</f>
        <v>309.59999999999997</v>
      </c>
      <c r="E1723" s="215"/>
      <c r="F1723" s="211">
        <f>E1723*D1723</f>
        <v>0</v>
      </c>
      <c r="G1723" s="193"/>
      <c r="H1723" s="8"/>
      <c r="I1723" s="103"/>
      <c r="J1723" s="103"/>
      <c r="K1723" s="103"/>
    </row>
    <row r="1724" spans="1:14">
      <c r="A1724" s="42"/>
      <c r="B1724" s="46"/>
      <c r="C1724" s="13"/>
      <c r="D1724" s="45"/>
      <c r="E1724" s="16"/>
      <c r="F1724" s="31"/>
      <c r="G1724" s="186"/>
      <c r="H1724" s="8"/>
      <c r="I1724" s="103"/>
      <c r="J1724" s="103"/>
      <c r="K1724" s="103"/>
    </row>
    <row r="1725" spans="1:14" ht="25.5">
      <c r="A1725" s="108" t="s">
        <v>294</v>
      </c>
      <c r="B1725" s="363" t="s">
        <v>608</v>
      </c>
      <c r="C1725" s="13"/>
      <c r="D1725" s="21"/>
      <c r="E1725" s="16"/>
      <c r="F1725" s="31"/>
      <c r="G1725" s="186"/>
      <c r="H1725" s="8"/>
      <c r="I1725" s="103"/>
      <c r="J1725" s="103"/>
      <c r="K1725" s="103"/>
    </row>
    <row r="1726" spans="1:14">
      <c r="A1726" s="42"/>
      <c r="B1726" s="22" t="s">
        <v>27</v>
      </c>
      <c r="C1726" s="22"/>
      <c r="D1726" s="22"/>
      <c r="E1726" s="16"/>
      <c r="F1726" s="31"/>
      <c r="G1726" s="186"/>
      <c r="H1726" s="8"/>
      <c r="I1726" s="103"/>
      <c r="J1726" s="103"/>
      <c r="K1726" s="103"/>
    </row>
    <row r="1727" spans="1:14">
      <c r="A1727" s="42"/>
      <c r="B1727" s="23" t="s">
        <v>606</v>
      </c>
      <c r="C1727" s="22"/>
      <c r="D1727" s="80">
        <f>10.73+19.58+69.19+10.94+2.85+2*1.25</f>
        <v>115.78999999999999</v>
      </c>
      <c r="E1727" s="16"/>
      <c r="F1727" s="31"/>
      <c r="G1727" s="186"/>
      <c r="H1727" s="8"/>
      <c r="I1727" s="103"/>
      <c r="J1727" s="103"/>
      <c r="K1727" s="103"/>
    </row>
    <row r="1728" spans="1:14">
      <c r="A1728" s="42"/>
      <c r="B1728" s="22"/>
      <c r="C1728" s="22"/>
      <c r="D1728" s="22"/>
      <c r="E1728" s="16"/>
      <c r="F1728" s="31"/>
      <c r="G1728" s="186"/>
      <c r="H1728" s="8"/>
      <c r="I1728" s="103"/>
      <c r="J1728" s="103"/>
      <c r="K1728" s="103"/>
    </row>
    <row r="1729" spans="1:11">
      <c r="A1729" s="42"/>
      <c r="B1729" s="22" t="s">
        <v>360</v>
      </c>
      <c r="C1729" s="22"/>
      <c r="D1729" s="22"/>
      <c r="E1729" s="16"/>
      <c r="F1729" s="31"/>
      <c r="G1729" s="186"/>
      <c r="H1729" s="8"/>
      <c r="I1729" s="103"/>
      <c r="J1729" s="103"/>
      <c r="K1729" s="103"/>
    </row>
    <row r="1730" spans="1:11">
      <c r="A1730" s="42"/>
      <c r="B1730" s="23" t="s">
        <v>605</v>
      </c>
      <c r="C1730" s="22"/>
      <c r="D1730" s="78">
        <f>65.89+2.85+2*1.25</f>
        <v>71.239999999999995</v>
      </c>
      <c r="E1730" s="16"/>
      <c r="F1730" s="31"/>
      <c r="G1730" s="186"/>
      <c r="H1730" s="8"/>
      <c r="I1730" s="103"/>
      <c r="J1730" s="103"/>
      <c r="K1730" s="103"/>
    </row>
    <row r="1731" spans="1:11">
      <c r="A1731" s="42"/>
      <c r="B1731" s="22"/>
      <c r="C1731" s="22"/>
      <c r="D1731" s="78"/>
      <c r="E1731" s="16"/>
      <c r="F1731" s="31"/>
      <c r="G1731" s="186"/>
      <c r="H1731" s="8"/>
      <c r="I1731" s="103"/>
      <c r="J1731" s="103"/>
      <c r="K1731" s="103"/>
    </row>
    <row r="1732" spans="1:11">
      <c r="A1732" s="42"/>
      <c r="B1732" s="22" t="s">
        <v>361</v>
      </c>
      <c r="C1732" s="22"/>
      <c r="D1732" s="80"/>
      <c r="E1732" s="16"/>
      <c r="F1732" s="31"/>
      <c r="G1732" s="186"/>
      <c r="H1732" s="8"/>
      <c r="I1732" s="103"/>
      <c r="J1732" s="103"/>
      <c r="K1732" s="103"/>
    </row>
    <row r="1733" spans="1:11">
      <c r="A1733" s="42"/>
      <c r="B1733" s="23" t="s">
        <v>607</v>
      </c>
      <c r="C1733" s="22"/>
      <c r="D1733" s="78">
        <f>(65.89+2.85+2*1.25)*3</f>
        <v>213.71999999999997</v>
      </c>
      <c r="E1733" s="16"/>
      <c r="F1733" s="31"/>
      <c r="G1733" s="186"/>
      <c r="H1733" s="8"/>
      <c r="I1733" s="103"/>
      <c r="J1733" s="103"/>
      <c r="K1733" s="103"/>
    </row>
    <row r="1734" spans="1:11">
      <c r="A1734" s="42"/>
      <c r="B1734" s="23"/>
      <c r="C1734" s="22"/>
      <c r="D1734" s="78"/>
      <c r="E1734" s="16"/>
      <c r="F1734" s="31"/>
      <c r="G1734" s="186"/>
      <c r="H1734" s="8"/>
      <c r="I1734" s="103"/>
      <c r="J1734" s="103"/>
      <c r="K1734" s="103"/>
    </row>
    <row r="1735" spans="1:11">
      <c r="A1735" s="42"/>
      <c r="B1735" s="46" t="s">
        <v>653</v>
      </c>
      <c r="C1735" s="13" t="s">
        <v>39</v>
      </c>
      <c r="D1735" s="45">
        <f>SUM(D1726:D1733)</f>
        <v>400.74999999999994</v>
      </c>
      <c r="E1735" s="10"/>
      <c r="F1735" s="31">
        <f>E1735*D1735</f>
        <v>0</v>
      </c>
      <c r="G1735" s="193"/>
      <c r="H1735" s="8"/>
      <c r="I1735" s="103"/>
      <c r="J1735" s="103"/>
      <c r="K1735" s="103"/>
    </row>
    <row r="1736" spans="1:11">
      <c r="A1736" s="42"/>
      <c r="B1736" s="129"/>
      <c r="C1736" s="13"/>
      <c r="D1736" s="21"/>
      <c r="E1736" s="16"/>
      <c r="F1736" s="31"/>
      <c r="G1736" s="186"/>
      <c r="H1736" s="8"/>
      <c r="I1736" s="103"/>
      <c r="J1736" s="103"/>
      <c r="K1736" s="103"/>
    </row>
    <row r="1737" spans="1:11" ht="25.5">
      <c r="A1737" s="42"/>
      <c r="B1737" s="363" t="s">
        <v>610</v>
      </c>
      <c r="C1737" s="13"/>
      <c r="D1737" s="21"/>
      <c r="E1737" s="16"/>
      <c r="F1737" s="31"/>
      <c r="G1737" s="186"/>
      <c r="H1737" s="8"/>
      <c r="I1737" s="103"/>
      <c r="J1737" s="103"/>
      <c r="K1737" s="103"/>
    </row>
    <row r="1738" spans="1:11">
      <c r="A1738" s="42"/>
      <c r="B1738" s="129"/>
      <c r="C1738" s="13"/>
      <c r="D1738" s="21"/>
      <c r="E1738" s="16"/>
      <c r="F1738" s="31"/>
      <c r="G1738" s="186"/>
      <c r="H1738" s="8"/>
      <c r="I1738" s="103"/>
      <c r="J1738" s="103"/>
      <c r="K1738" s="103"/>
    </row>
    <row r="1739" spans="1:11">
      <c r="A1739" s="42"/>
      <c r="B1739" s="22" t="s">
        <v>27</v>
      </c>
      <c r="C1739" s="13"/>
      <c r="D1739" s="21"/>
      <c r="E1739" s="16"/>
      <c r="F1739" s="31"/>
      <c r="G1739" s="186"/>
      <c r="H1739" s="8"/>
      <c r="I1739" s="103"/>
      <c r="J1739" s="103"/>
      <c r="K1739" s="103"/>
    </row>
    <row r="1740" spans="1:11">
      <c r="A1740" s="42"/>
      <c r="B1740" s="23" t="s">
        <v>986</v>
      </c>
      <c r="C1740" s="13"/>
      <c r="D1740" s="21">
        <f>9.12+8.3*3+8.72+7.7</f>
        <v>50.440000000000005</v>
      </c>
      <c r="E1740" s="16"/>
      <c r="F1740" s="31"/>
      <c r="G1740" s="186"/>
      <c r="H1740" s="8"/>
      <c r="I1740" s="103"/>
      <c r="J1740" s="103"/>
      <c r="K1740" s="103"/>
    </row>
    <row r="1741" spans="1:11">
      <c r="A1741" s="42"/>
      <c r="B1741" s="22"/>
      <c r="C1741" s="13"/>
      <c r="D1741" s="21"/>
      <c r="E1741" s="16"/>
      <c r="F1741" s="31"/>
      <c r="G1741" s="186"/>
      <c r="H1741" s="8"/>
      <c r="I1741" s="103"/>
      <c r="J1741" s="103"/>
      <c r="K1741" s="103"/>
    </row>
    <row r="1742" spans="1:11">
      <c r="A1742" s="42"/>
      <c r="B1742" s="22" t="s">
        <v>360</v>
      </c>
      <c r="C1742" s="13"/>
      <c r="D1742" s="21"/>
      <c r="E1742" s="16"/>
      <c r="F1742" s="31"/>
      <c r="G1742" s="186"/>
      <c r="H1742" s="8"/>
      <c r="I1742" s="103"/>
      <c r="J1742" s="103"/>
      <c r="K1742" s="103"/>
    </row>
    <row r="1743" spans="1:11">
      <c r="A1743" s="42"/>
      <c r="B1743" s="23" t="s">
        <v>987</v>
      </c>
      <c r="C1743" s="13"/>
      <c r="D1743" s="21">
        <f>9.12+8.3*4+8.72+7.7</f>
        <v>58.74</v>
      </c>
      <c r="E1743" s="16"/>
      <c r="F1743" s="31"/>
      <c r="G1743" s="186"/>
      <c r="H1743" s="8"/>
      <c r="I1743" s="103"/>
      <c r="J1743" s="103"/>
      <c r="K1743" s="103"/>
    </row>
    <row r="1744" spans="1:11">
      <c r="A1744" s="42"/>
      <c r="B1744" s="22"/>
      <c r="C1744" s="13"/>
      <c r="D1744" s="21"/>
      <c r="E1744" s="16"/>
      <c r="F1744" s="31"/>
      <c r="G1744" s="186"/>
      <c r="H1744" s="8"/>
      <c r="I1744" s="103"/>
      <c r="J1744" s="103"/>
      <c r="K1744" s="103"/>
    </row>
    <row r="1745" spans="1:11">
      <c r="A1745" s="42"/>
      <c r="B1745" s="22" t="s">
        <v>361</v>
      </c>
      <c r="C1745" s="13"/>
      <c r="D1745" s="21"/>
      <c r="E1745" s="16"/>
      <c r="F1745" s="31"/>
      <c r="G1745" s="186"/>
      <c r="H1745" s="8"/>
      <c r="I1745" s="103"/>
      <c r="J1745" s="103"/>
      <c r="K1745" s="103"/>
    </row>
    <row r="1746" spans="1:11">
      <c r="A1746" s="42"/>
      <c r="B1746" s="23" t="s">
        <v>988</v>
      </c>
      <c r="C1746" s="13"/>
      <c r="D1746" s="21">
        <f>(9.12+8.3*4+8.72+7.7)*3</f>
        <v>176.22</v>
      </c>
      <c r="E1746" s="16"/>
      <c r="F1746" s="31"/>
      <c r="G1746" s="186"/>
      <c r="H1746" s="8"/>
      <c r="I1746" s="103"/>
      <c r="J1746" s="103"/>
      <c r="K1746" s="103"/>
    </row>
    <row r="1747" spans="1:11">
      <c r="A1747" s="42"/>
      <c r="B1747" s="23"/>
      <c r="C1747" s="13"/>
      <c r="D1747" s="21"/>
      <c r="E1747" s="16"/>
      <c r="F1747" s="31"/>
      <c r="G1747" s="186"/>
      <c r="H1747" s="8"/>
      <c r="I1747" s="103"/>
      <c r="J1747" s="103"/>
      <c r="K1747" s="103"/>
    </row>
    <row r="1748" spans="1:11">
      <c r="A1748" s="42"/>
      <c r="B1748" s="46" t="s">
        <v>295</v>
      </c>
      <c r="C1748" s="13" t="s">
        <v>39</v>
      </c>
      <c r="D1748" s="45">
        <f>SUM(D1738:D1747)</f>
        <v>285.39999999999998</v>
      </c>
      <c r="E1748" s="10"/>
      <c r="F1748" s="31">
        <f>E1748*D1748</f>
        <v>0</v>
      </c>
      <c r="G1748" s="193"/>
      <c r="H1748" s="8"/>
      <c r="I1748" s="103"/>
      <c r="J1748" s="103"/>
      <c r="K1748" s="103"/>
    </row>
    <row r="1749" spans="1:11">
      <c r="A1749" s="42"/>
      <c r="B1749" s="46"/>
      <c r="C1749" s="13"/>
      <c r="D1749" s="45"/>
      <c r="E1749" s="10"/>
      <c r="F1749" s="31"/>
      <c r="G1749" s="186"/>
      <c r="H1749" s="8"/>
      <c r="I1749" s="103"/>
      <c r="J1749" s="103"/>
      <c r="K1749" s="103"/>
    </row>
    <row r="1750" spans="1:11" ht="25.5">
      <c r="A1750" s="108" t="s">
        <v>731</v>
      </c>
      <c r="B1750" s="363" t="s">
        <v>730</v>
      </c>
      <c r="C1750" s="13"/>
      <c r="D1750" s="45"/>
      <c r="E1750" s="10"/>
      <c r="F1750" s="31"/>
      <c r="G1750" s="186"/>
      <c r="H1750" s="8"/>
      <c r="I1750" s="103"/>
      <c r="J1750" s="103"/>
      <c r="K1750" s="103"/>
    </row>
    <row r="1751" spans="1:11">
      <c r="A1751" s="42"/>
      <c r="B1751" s="363"/>
      <c r="C1751" s="13"/>
      <c r="D1751" s="45"/>
      <c r="E1751" s="10"/>
      <c r="F1751" s="31"/>
      <c r="G1751" s="186"/>
      <c r="H1751" s="8"/>
      <c r="I1751" s="103"/>
      <c r="J1751" s="103"/>
      <c r="K1751" s="103"/>
    </row>
    <row r="1752" spans="1:11">
      <c r="A1752" s="42"/>
      <c r="B1752" s="22" t="s">
        <v>27</v>
      </c>
      <c r="C1752" s="41"/>
      <c r="D1752" s="136"/>
      <c r="E1752" s="22"/>
      <c r="F1752" s="63"/>
      <c r="G1752" s="186"/>
      <c r="H1752" s="8"/>
      <c r="I1752" s="103"/>
      <c r="J1752" s="103"/>
      <c r="K1752" s="103"/>
    </row>
    <row r="1753" spans="1:11">
      <c r="A1753" s="42"/>
      <c r="B1753" s="23" t="s">
        <v>989</v>
      </c>
      <c r="C1753" s="41"/>
      <c r="D1753" s="23">
        <f>(0.3+0.16)*9*2+1.31+2.86+1.41</f>
        <v>13.86</v>
      </c>
      <c r="E1753" s="22"/>
      <c r="F1753" s="63"/>
      <c r="G1753" s="186"/>
      <c r="H1753" s="8"/>
      <c r="I1753" s="103"/>
      <c r="J1753" s="103"/>
      <c r="K1753" s="103"/>
    </row>
    <row r="1754" spans="1:11">
      <c r="A1754" s="42"/>
      <c r="B1754" s="134"/>
      <c r="C1754" s="41"/>
      <c r="D1754" s="134"/>
      <c r="E1754" s="22"/>
      <c r="F1754" s="63"/>
      <c r="G1754" s="186"/>
      <c r="H1754" s="8"/>
      <c r="I1754" s="103"/>
      <c r="J1754" s="103"/>
      <c r="K1754" s="103"/>
    </row>
    <row r="1755" spans="1:11">
      <c r="A1755" s="42"/>
      <c r="B1755" s="22" t="s">
        <v>360</v>
      </c>
      <c r="C1755" s="41"/>
      <c r="D1755" s="136"/>
      <c r="E1755" s="22"/>
      <c r="F1755" s="63"/>
      <c r="G1755" s="186"/>
      <c r="H1755" s="8"/>
      <c r="I1755" s="103"/>
      <c r="J1755" s="103"/>
      <c r="K1755" s="103"/>
    </row>
    <row r="1756" spans="1:11">
      <c r="A1756" s="42"/>
      <c r="B1756" s="23" t="s">
        <v>989</v>
      </c>
      <c r="C1756" s="41"/>
      <c r="D1756" s="23">
        <f>(0.3+0.16)*9*2+1.31+2.86+1.41</f>
        <v>13.86</v>
      </c>
      <c r="E1756" s="22"/>
      <c r="F1756" s="63"/>
      <c r="G1756" s="186"/>
      <c r="H1756" s="8"/>
      <c r="I1756" s="103"/>
      <c r="J1756" s="103"/>
      <c r="K1756" s="103"/>
    </row>
    <row r="1757" spans="1:11">
      <c r="A1757" s="42"/>
      <c r="B1757" s="22"/>
      <c r="C1757" s="41"/>
      <c r="D1757" s="136"/>
      <c r="E1757" s="22"/>
      <c r="F1757" s="63"/>
      <c r="G1757" s="186"/>
      <c r="H1757" s="8"/>
      <c r="I1757" s="103"/>
      <c r="J1757" s="103"/>
      <c r="K1757" s="103"/>
    </row>
    <row r="1758" spans="1:11">
      <c r="A1758" s="42"/>
      <c r="B1758" s="22" t="s">
        <v>361</v>
      </c>
      <c r="C1758" s="41"/>
      <c r="D1758" s="136"/>
      <c r="E1758" s="22"/>
      <c r="F1758" s="63"/>
      <c r="G1758" s="186"/>
      <c r="H1758" s="8"/>
      <c r="I1758" s="103"/>
      <c r="J1758" s="103"/>
      <c r="K1758" s="103"/>
    </row>
    <row r="1759" spans="1:11">
      <c r="A1759" s="42"/>
      <c r="B1759" s="23" t="s">
        <v>990</v>
      </c>
      <c r="C1759" s="41"/>
      <c r="D1759" s="23">
        <f>(0.3+0.16)*9*2*2+(1.31+2.86+1.41)*2</f>
        <v>27.72</v>
      </c>
      <c r="E1759" s="22"/>
      <c r="F1759" s="63"/>
      <c r="G1759" s="186"/>
      <c r="H1759" s="8"/>
      <c r="I1759" s="103"/>
      <c r="J1759" s="103"/>
      <c r="K1759" s="103"/>
    </row>
    <row r="1760" spans="1:11">
      <c r="A1760" s="42"/>
      <c r="B1760" s="82"/>
      <c r="C1760" s="41"/>
      <c r="D1760" s="136"/>
      <c r="E1760" s="22"/>
      <c r="F1760" s="63"/>
      <c r="G1760" s="186"/>
      <c r="H1760" s="8"/>
      <c r="I1760" s="103"/>
      <c r="J1760" s="103"/>
      <c r="K1760" s="103"/>
    </row>
    <row r="1761" spans="1:14">
      <c r="A1761" s="42"/>
      <c r="B1761" s="82" t="s">
        <v>207</v>
      </c>
      <c r="C1761" s="41" t="s">
        <v>39</v>
      </c>
      <c r="D1761" s="136">
        <f>SUM(D1753:D1760)</f>
        <v>55.44</v>
      </c>
      <c r="E1761" s="10"/>
      <c r="F1761" s="30">
        <f>+D1761*E1761</f>
        <v>0</v>
      </c>
      <c r="G1761" s="193"/>
      <c r="H1761" s="8"/>
      <c r="I1761" s="103"/>
      <c r="J1761" s="103"/>
      <c r="K1761" s="103"/>
    </row>
    <row r="1762" spans="1:14">
      <c r="A1762" s="44"/>
      <c r="B1762" s="33"/>
      <c r="C1762" s="13"/>
      <c r="D1762" s="48"/>
      <c r="E1762" s="14"/>
      <c r="F1762" s="31"/>
      <c r="G1762" s="186"/>
      <c r="H1762" s="138"/>
      <c r="I1762" s="103"/>
      <c r="J1762" s="103"/>
      <c r="K1762" s="103"/>
      <c r="L1762" s="103"/>
      <c r="M1762" s="103"/>
      <c r="N1762" s="103"/>
    </row>
    <row r="1763" spans="1:14" ht="51">
      <c r="A1763" s="44" t="s">
        <v>157</v>
      </c>
      <c r="B1763" s="237" t="s">
        <v>676</v>
      </c>
      <c r="C1763" s="13"/>
      <c r="D1763" s="21"/>
      <c r="E1763" s="39"/>
      <c r="F1763" s="30"/>
      <c r="G1763" s="186"/>
      <c r="H1763" s="357"/>
      <c r="I1763" s="103"/>
      <c r="J1763" s="103"/>
      <c r="K1763" s="103"/>
    </row>
    <row r="1764" spans="1:14" ht="25.5">
      <c r="A1764" s="37"/>
      <c r="B1764" s="232" t="s">
        <v>677</v>
      </c>
      <c r="C1764" s="13"/>
      <c r="D1764" s="21"/>
      <c r="E1764" s="39"/>
      <c r="F1764" s="30"/>
      <c r="G1764" s="186"/>
      <c r="H1764" s="357"/>
      <c r="I1764" s="103"/>
      <c r="J1764" s="103"/>
      <c r="K1764" s="103"/>
    </row>
    <row r="1765" spans="1:14" ht="51">
      <c r="A1765" s="286"/>
      <c r="B1765" s="281" t="s">
        <v>678</v>
      </c>
      <c r="C1765" s="221"/>
      <c r="D1765" s="287"/>
      <c r="E1765" s="285"/>
      <c r="F1765" s="212"/>
      <c r="G1765" s="186"/>
      <c r="H1765" s="357"/>
      <c r="I1765" s="103"/>
      <c r="J1765" s="103"/>
      <c r="K1765" s="103"/>
    </row>
    <row r="1766" spans="1:14">
      <c r="A1766" s="37"/>
      <c r="B1766" s="237"/>
      <c r="C1766" s="13"/>
      <c r="D1766" s="21"/>
      <c r="E1766" s="39"/>
      <c r="F1766" s="30"/>
      <c r="G1766" s="186"/>
      <c r="H1766" s="357"/>
      <c r="I1766" s="103"/>
      <c r="J1766" s="103"/>
      <c r="K1766" s="103"/>
    </row>
    <row r="1767" spans="1:14" ht="38.25">
      <c r="A1767" s="44"/>
      <c r="B1767" s="237" t="s">
        <v>149</v>
      </c>
      <c r="C1767" s="13"/>
      <c r="D1767" s="48"/>
      <c r="E1767" s="14"/>
      <c r="F1767" s="31"/>
      <c r="G1767" s="186"/>
      <c r="H1767" s="138"/>
      <c r="I1767" s="103"/>
      <c r="J1767" s="103"/>
      <c r="K1767" s="103"/>
    </row>
    <row r="1768" spans="1:14" ht="38.25">
      <c r="A1768" s="44"/>
      <c r="B1768" s="238" t="s">
        <v>679</v>
      </c>
      <c r="C1768" s="13"/>
      <c r="D1768" s="48"/>
      <c r="E1768" s="14"/>
      <c r="F1768" s="31"/>
      <c r="G1768" s="186"/>
      <c r="H1768" s="138"/>
      <c r="I1768" s="103"/>
      <c r="J1768" s="103"/>
      <c r="K1768" s="103"/>
    </row>
    <row r="1769" spans="1:14" s="103" customFormat="1" ht="38.25">
      <c r="A1769" s="43"/>
      <c r="B1769" s="238" t="s">
        <v>680</v>
      </c>
      <c r="C1769" s="13"/>
      <c r="D1769" s="48"/>
      <c r="E1769" s="10"/>
      <c r="F1769" s="30"/>
      <c r="G1769" s="403"/>
      <c r="H1769" s="9"/>
      <c r="I1769" s="105"/>
    </row>
    <row r="1770" spans="1:14">
      <c r="A1770" s="44"/>
      <c r="B1770" s="238" t="s">
        <v>41</v>
      </c>
      <c r="C1770" s="22"/>
      <c r="D1770" s="22"/>
      <c r="E1770" s="10"/>
      <c r="F1770" s="30"/>
      <c r="G1770" s="186"/>
      <c r="H1770" s="9"/>
      <c r="I1770" s="103"/>
      <c r="J1770" s="103"/>
      <c r="K1770" s="103"/>
    </row>
    <row r="1771" spans="1:14">
      <c r="A1771" s="44"/>
      <c r="B1771" s="158"/>
      <c r="C1771" s="22"/>
      <c r="D1771" s="22"/>
      <c r="E1771" s="10"/>
      <c r="F1771" s="30"/>
      <c r="G1771" s="186"/>
      <c r="H1771" s="9"/>
      <c r="I1771" s="103"/>
      <c r="J1771" s="103"/>
      <c r="K1771" s="103"/>
    </row>
    <row r="1772" spans="1:14">
      <c r="A1772" s="44"/>
      <c r="B1772" s="266" t="s">
        <v>681</v>
      </c>
      <c r="C1772" s="22"/>
      <c r="D1772" s="22"/>
      <c r="E1772" s="10"/>
      <c r="F1772" s="30"/>
      <c r="G1772" s="186"/>
      <c r="H1772" s="9"/>
      <c r="I1772" s="103"/>
      <c r="J1772" s="103"/>
      <c r="K1772" s="103"/>
    </row>
    <row r="1773" spans="1:14">
      <c r="A1773" s="44"/>
      <c r="B1773" s="22" t="s">
        <v>27</v>
      </c>
      <c r="C1773" s="22"/>
      <c r="D1773" s="22"/>
      <c r="E1773" s="10"/>
      <c r="F1773" s="30"/>
      <c r="G1773" s="186"/>
      <c r="H1773" s="9"/>
      <c r="I1773" s="103"/>
      <c r="J1773" s="103"/>
      <c r="K1773" s="103"/>
    </row>
    <row r="1774" spans="1:14" ht="51">
      <c r="A1774" s="44"/>
      <c r="B1774" s="23" t="s">
        <v>991</v>
      </c>
      <c r="C1774" s="22"/>
      <c r="D1774" s="78">
        <f>2.4*(8.75+5.18+8.6+5.46+8.73+8.17+8.61+5.18+8.79+6.48)-(0.8*2.05*7+0.85*2.05*2+0.9*2.05-0.5*10)</f>
        <v>165.67</v>
      </c>
      <c r="E1774" s="10"/>
      <c r="F1774" s="30"/>
      <c r="G1774" s="186"/>
      <c r="H1774" s="9"/>
      <c r="I1774" s="103"/>
      <c r="J1774" s="103"/>
      <c r="K1774" s="103"/>
    </row>
    <row r="1775" spans="1:14">
      <c r="A1775" s="44"/>
      <c r="B1775" s="22"/>
      <c r="C1775" s="22"/>
      <c r="D1775" s="22"/>
      <c r="E1775" s="10"/>
      <c r="F1775" s="30"/>
      <c r="G1775" s="186"/>
      <c r="H1775" s="9"/>
      <c r="I1775" s="103"/>
      <c r="J1775" s="103"/>
      <c r="K1775" s="103"/>
    </row>
    <row r="1776" spans="1:14">
      <c r="A1776" s="44"/>
      <c r="B1776" s="22" t="s">
        <v>360</v>
      </c>
      <c r="C1776" s="22"/>
      <c r="D1776" s="22"/>
      <c r="E1776" s="10"/>
      <c r="F1776" s="30"/>
      <c r="G1776" s="186"/>
      <c r="H1776" s="9"/>
      <c r="I1776" s="103"/>
      <c r="J1776" s="103"/>
      <c r="K1776" s="103"/>
    </row>
    <row r="1777" spans="1:11" ht="38.25">
      <c r="A1777" s="44"/>
      <c r="B1777" s="23" t="s">
        <v>992</v>
      </c>
      <c r="C1777" s="22"/>
      <c r="D1777" s="78">
        <f>2.4*(8.75+5.18+8.12+8.4+8.73+8.17+8.61+5.18+8.79)-(0.8*2.05*7+0.85*2.05*2-0.5*9)</f>
        <v>157.36699999999996</v>
      </c>
      <c r="E1777" s="10"/>
      <c r="F1777" s="30"/>
      <c r="G1777" s="186"/>
      <c r="H1777" s="9"/>
      <c r="I1777" s="103"/>
      <c r="J1777" s="103"/>
      <c r="K1777" s="103"/>
    </row>
    <row r="1778" spans="1:11">
      <c r="A1778" s="44"/>
      <c r="B1778" s="22"/>
      <c r="C1778" s="22"/>
      <c r="D1778" s="78"/>
      <c r="E1778" s="10"/>
      <c r="F1778" s="30"/>
      <c r="G1778" s="186"/>
      <c r="H1778" s="9"/>
      <c r="I1778" s="103"/>
      <c r="J1778" s="103"/>
      <c r="K1778" s="103"/>
    </row>
    <row r="1779" spans="1:11">
      <c r="A1779" s="44"/>
      <c r="B1779" s="22" t="s">
        <v>361</v>
      </c>
      <c r="C1779" s="22"/>
      <c r="D1779" s="78"/>
      <c r="E1779" s="10"/>
      <c r="F1779" s="30"/>
      <c r="G1779" s="186"/>
      <c r="H1779" s="9"/>
      <c r="I1779" s="103"/>
      <c r="J1779" s="103"/>
      <c r="K1779" s="103"/>
    </row>
    <row r="1780" spans="1:11" ht="38.25">
      <c r="A1780" s="44"/>
      <c r="B1780" s="23" t="s">
        <v>993</v>
      </c>
      <c r="C1780" s="22"/>
      <c r="D1780" s="78">
        <f>2.4*(8.75+5.18+8.12+8.4+8.73+8.17+8.61+5.18+8.79)*3-(0.8*2.05*7+0.85*2.05*2-0.5*9)*3</f>
        <v>472.10099999999989</v>
      </c>
      <c r="E1780" s="10"/>
      <c r="F1780" s="30"/>
      <c r="G1780" s="186"/>
      <c r="H1780" s="9"/>
      <c r="I1780" s="103"/>
      <c r="J1780" s="103"/>
      <c r="K1780" s="103"/>
    </row>
    <row r="1781" spans="1:11">
      <c r="A1781" s="44"/>
      <c r="B1781" s="23"/>
      <c r="C1781" s="22"/>
      <c r="D1781" s="78"/>
      <c r="E1781" s="10"/>
      <c r="F1781" s="30"/>
      <c r="G1781" s="186"/>
      <c r="H1781" s="9"/>
      <c r="I1781" s="103"/>
      <c r="J1781" s="103"/>
      <c r="K1781" s="103"/>
    </row>
    <row r="1782" spans="1:11" ht="38.25">
      <c r="A1782" s="44"/>
      <c r="B1782" s="225" t="s">
        <v>682</v>
      </c>
      <c r="C1782" s="22"/>
      <c r="D1782" s="78"/>
      <c r="E1782" s="10"/>
      <c r="F1782" s="30"/>
      <c r="G1782" s="186"/>
      <c r="H1782" s="9"/>
      <c r="I1782" s="103"/>
      <c r="J1782" s="103"/>
      <c r="K1782" s="103"/>
    </row>
    <row r="1783" spans="1:11">
      <c r="A1783" s="44"/>
      <c r="B1783" s="22" t="s">
        <v>27</v>
      </c>
      <c r="C1783" s="22"/>
      <c r="D1783" s="22"/>
      <c r="E1783" s="10"/>
      <c r="F1783" s="30"/>
      <c r="G1783" s="186"/>
      <c r="H1783" s="9"/>
      <c r="I1783" s="103"/>
      <c r="J1783" s="103"/>
      <c r="K1783" s="103"/>
    </row>
    <row r="1784" spans="1:11" ht="25.5">
      <c r="A1784" s="44"/>
      <c r="B1784" s="23" t="s">
        <v>994</v>
      </c>
      <c r="C1784" s="22"/>
      <c r="D1784" s="78">
        <f>0.7*(0.6*2+2.94+0.6*2+2.35+0.6*3+1.1+2.25+0.6*2+2.44+0.6*2+2.97+0.6*2.32)</f>
        <v>15.429399999999996</v>
      </c>
      <c r="E1784" s="10"/>
      <c r="F1784" s="30"/>
      <c r="G1784" s="186"/>
      <c r="H1784" s="9"/>
      <c r="I1784" s="103"/>
      <c r="J1784" s="103"/>
      <c r="K1784" s="103"/>
    </row>
    <row r="1785" spans="1:11">
      <c r="A1785" s="44"/>
      <c r="B1785" s="22"/>
      <c r="C1785" s="22"/>
      <c r="D1785" s="22"/>
      <c r="E1785" s="10"/>
      <c r="F1785" s="30"/>
      <c r="G1785" s="186"/>
      <c r="H1785" s="9"/>
      <c r="I1785" s="103"/>
      <c r="J1785" s="103"/>
      <c r="K1785" s="103"/>
    </row>
    <row r="1786" spans="1:11">
      <c r="A1786" s="44"/>
      <c r="B1786" s="22" t="s">
        <v>360</v>
      </c>
      <c r="C1786" s="22"/>
      <c r="D1786" s="22"/>
      <c r="E1786" s="10"/>
      <c r="F1786" s="30"/>
      <c r="G1786" s="186"/>
      <c r="H1786" s="9"/>
      <c r="I1786" s="103"/>
      <c r="J1786" s="103"/>
      <c r="K1786" s="103"/>
    </row>
    <row r="1787" spans="1:11" ht="38.25">
      <c r="A1787" s="44"/>
      <c r="B1787" s="23" t="s">
        <v>995</v>
      </c>
      <c r="C1787" s="22"/>
      <c r="D1787" s="78">
        <f>0.7*(0.6*2+2.94+0.6*2+2.35+0.6*3+1.1+2.25+0.6*2+2.2+0.6*3+2.24+1.1+0.6*2+2.97+0.6*2+2.32)</f>
        <v>20.349</v>
      </c>
      <c r="E1787" s="10"/>
      <c r="F1787" s="30"/>
      <c r="G1787" s="186"/>
      <c r="H1787" s="9"/>
      <c r="I1787" s="103"/>
      <c r="J1787" s="103"/>
      <c r="K1787" s="103"/>
    </row>
    <row r="1788" spans="1:11">
      <c r="A1788" s="44"/>
      <c r="B1788" s="22"/>
      <c r="C1788" s="22"/>
      <c r="D1788" s="78"/>
      <c r="E1788" s="10"/>
      <c r="F1788" s="30"/>
      <c r="G1788" s="186"/>
      <c r="H1788" s="9"/>
      <c r="I1788" s="103"/>
      <c r="J1788" s="103"/>
      <c r="K1788" s="103"/>
    </row>
    <row r="1789" spans="1:11">
      <c r="A1789" s="44"/>
      <c r="B1789" s="22" t="s">
        <v>361</v>
      </c>
      <c r="C1789" s="22"/>
      <c r="D1789" s="78"/>
      <c r="E1789" s="10"/>
      <c r="F1789" s="30"/>
      <c r="G1789" s="186"/>
      <c r="H1789" s="9"/>
      <c r="I1789" s="103"/>
      <c r="J1789" s="103"/>
      <c r="K1789" s="103"/>
    </row>
    <row r="1790" spans="1:11" ht="38.25">
      <c r="A1790" s="44"/>
      <c r="B1790" s="23" t="s">
        <v>996</v>
      </c>
      <c r="C1790" s="22"/>
      <c r="D1790" s="78">
        <f>0.7*(0.6*2+2.94+0.6*2+2.35+0.6*3+1.1+2.25+0.6*2+2.2+0.6*3+2.24+1.1+0.6*2+2.97+0.6*2+2.32)*3</f>
        <v>61.046999999999997</v>
      </c>
      <c r="E1790" s="10"/>
      <c r="F1790" s="30"/>
      <c r="G1790" s="186"/>
      <c r="H1790" s="9"/>
      <c r="I1790" s="103"/>
      <c r="J1790" s="103"/>
      <c r="K1790" s="103"/>
    </row>
    <row r="1791" spans="1:11">
      <c r="A1791" s="44"/>
      <c r="B1791" s="23"/>
      <c r="C1791" s="22"/>
      <c r="D1791" s="78"/>
      <c r="E1791" s="10"/>
      <c r="F1791" s="30"/>
      <c r="G1791" s="186"/>
      <c r="H1791" s="9"/>
      <c r="I1791" s="103"/>
      <c r="J1791" s="103"/>
      <c r="K1791" s="103"/>
    </row>
    <row r="1792" spans="1:11">
      <c r="A1792" s="214"/>
      <c r="B1792" s="207" t="s">
        <v>176</v>
      </c>
      <c r="C1792" s="221" t="s">
        <v>38</v>
      </c>
      <c r="D1792" s="287">
        <f>SUM(D1770:D1791)</f>
        <v>891.96339999999987</v>
      </c>
      <c r="E1792" s="215"/>
      <c r="F1792" s="212">
        <f>+D1792*E1792</f>
        <v>0</v>
      </c>
      <c r="G1792" s="193"/>
      <c r="H1792" s="9"/>
      <c r="I1792" s="103"/>
      <c r="J1792" s="103"/>
      <c r="K1792" s="103"/>
    </row>
    <row r="1793" spans="1:11">
      <c r="A1793" s="44"/>
      <c r="B1793" s="16"/>
      <c r="C1793" s="13"/>
      <c r="D1793" s="21"/>
      <c r="E1793" s="10"/>
      <c r="F1793" s="30"/>
      <c r="G1793" s="186"/>
      <c r="H1793" s="9"/>
      <c r="I1793" s="103"/>
      <c r="J1793" s="103"/>
      <c r="K1793" s="103"/>
    </row>
    <row r="1794" spans="1:11" ht="114.75">
      <c r="A1794" s="44" t="s">
        <v>158</v>
      </c>
      <c r="B1794" s="34" t="s">
        <v>1280</v>
      </c>
      <c r="C1794" s="174"/>
      <c r="D1794" s="175"/>
      <c r="E1794" s="176"/>
      <c r="F1794" s="240"/>
      <c r="G1794" s="186"/>
      <c r="H1794" s="9"/>
      <c r="I1794" s="103"/>
      <c r="J1794" s="103"/>
      <c r="K1794" s="103"/>
    </row>
    <row r="1795" spans="1:11" ht="38.25">
      <c r="A1795" s="44"/>
      <c r="B1795" s="16" t="s">
        <v>1158</v>
      </c>
      <c r="C1795" s="13"/>
      <c r="D1795" s="48"/>
      <c r="E1795" s="14"/>
      <c r="F1795" s="240"/>
      <c r="G1795" s="186"/>
      <c r="H1795" s="9"/>
      <c r="I1795" s="103"/>
      <c r="J1795" s="103"/>
      <c r="K1795" s="103"/>
    </row>
    <row r="1796" spans="1:11">
      <c r="A1796" s="44"/>
      <c r="B1796" s="10"/>
      <c r="C1796" s="13"/>
      <c r="D1796" s="48"/>
      <c r="E1796" s="14"/>
      <c r="F1796" s="31"/>
      <c r="G1796" s="186"/>
      <c r="H1796" s="9"/>
      <c r="I1796" s="103"/>
      <c r="J1796" s="103"/>
      <c r="K1796" s="103"/>
    </row>
    <row r="1797" spans="1:11" ht="25.5">
      <c r="A1797" s="108" t="s">
        <v>297</v>
      </c>
      <c r="B1797" s="16" t="s">
        <v>999</v>
      </c>
      <c r="C1797" s="13"/>
      <c r="D1797" s="48"/>
      <c r="E1797" s="14"/>
      <c r="F1797" s="31"/>
      <c r="G1797" s="186"/>
      <c r="H1797" s="9"/>
      <c r="I1797" s="103"/>
      <c r="J1797" s="103"/>
      <c r="K1797" s="103"/>
    </row>
    <row r="1798" spans="1:11">
      <c r="A1798" s="44"/>
      <c r="B1798" s="21" t="s">
        <v>1000</v>
      </c>
      <c r="C1798" s="13" t="s">
        <v>39</v>
      </c>
      <c r="D1798" s="21">
        <f>6*1.87</f>
        <v>11.22</v>
      </c>
      <c r="E1798" s="10"/>
      <c r="F1798" s="30">
        <f>+D1798*E1798</f>
        <v>0</v>
      </c>
      <c r="G1798" s="193"/>
      <c r="H1798" s="9"/>
      <c r="I1798" s="103"/>
      <c r="J1798" s="103"/>
      <c r="K1798" s="103"/>
    </row>
    <row r="1799" spans="1:11">
      <c r="A1799" s="44"/>
      <c r="B1799" s="16"/>
      <c r="C1799" s="13"/>
      <c r="D1799" s="21"/>
      <c r="E1799" s="10"/>
      <c r="F1799" s="30"/>
      <c r="G1799" s="186"/>
      <c r="H1799" s="9"/>
      <c r="I1799" s="103"/>
      <c r="J1799" s="103"/>
      <c r="K1799" s="103"/>
    </row>
    <row r="1800" spans="1:11" ht="25.5">
      <c r="A1800" s="108" t="s">
        <v>297</v>
      </c>
      <c r="B1800" s="16" t="s">
        <v>788</v>
      </c>
      <c r="C1800" s="13"/>
      <c r="D1800" s="21"/>
      <c r="E1800" s="10"/>
      <c r="F1800" s="30"/>
      <c r="G1800" s="186"/>
      <c r="H1800" s="9"/>
      <c r="I1800" s="103"/>
      <c r="J1800" s="103"/>
      <c r="K1800" s="103"/>
    </row>
    <row r="1801" spans="1:11">
      <c r="A1801" s="44"/>
      <c r="B1801" s="80"/>
      <c r="C1801" s="41"/>
      <c r="D1801" s="136"/>
      <c r="E1801" s="22"/>
      <c r="F1801" s="63"/>
      <c r="G1801" s="186"/>
      <c r="H1801" s="9"/>
      <c r="I1801" s="103"/>
      <c r="J1801" s="103"/>
      <c r="K1801" s="103"/>
    </row>
    <row r="1802" spans="1:11">
      <c r="A1802" s="44"/>
      <c r="B1802" s="22" t="s">
        <v>27</v>
      </c>
      <c r="C1802" s="41"/>
      <c r="D1802" s="136"/>
      <c r="E1802" s="22"/>
      <c r="F1802" s="63"/>
      <c r="G1802" s="186"/>
      <c r="H1802" s="9"/>
      <c r="I1802" s="103"/>
      <c r="J1802" s="103"/>
      <c r="K1802" s="103"/>
    </row>
    <row r="1803" spans="1:11">
      <c r="A1803" s="44"/>
      <c r="B1803" s="23" t="s">
        <v>997</v>
      </c>
      <c r="C1803" s="41"/>
      <c r="D1803" s="23">
        <f>9*2*1.37</f>
        <v>24.660000000000004</v>
      </c>
      <c r="E1803" s="22"/>
      <c r="F1803" s="63"/>
      <c r="G1803" s="186"/>
      <c r="H1803" s="9"/>
      <c r="I1803" s="103"/>
      <c r="J1803" s="103"/>
      <c r="K1803" s="103"/>
    </row>
    <row r="1804" spans="1:11">
      <c r="A1804" s="44"/>
      <c r="B1804" s="22"/>
      <c r="C1804" s="41"/>
      <c r="D1804" s="136"/>
      <c r="E1804" s="22"/>
      <c r="F1804" s="63"/>
      <c r="G1804" s="186"/>
      <c r="H1804" s="9"/>
      <c r="I1804" s="103"/>
      <c r="J1804" s="103"/>
      <c r="K1804" s="103"/>
    </row>
    <row r="1805" spans="1:11">
      <c r="A1805" s="44"/>
      <c r="B1805" s="22" t="s">
        <v>360</v>
      </c>
      <c r="C1805" s="41"/>
      <c r="D1805" s="136"/>
      <c r="E1805" s="22"/>
      <c r="F1805" s="63"/>
      <c r="G1805" s="186"/>
      <c r="H1805" s="9"/>
      <c r="I1805" s="103"/>
      <c r="J1805" s="103"/>
      <c r="K1805" s="103"/>
    </row>
    <row r="1806" spans="1:11">
      <c r="A1806" s="44"/>
      <c r="B1806" s="23" t="s">
        <v>997</v>
      </c>
      <c r="C1806" s="41"/>
      <c r="D1806" s="23">
        <f>9*2*1.37</f>
        <v>24.660000000000004</v>
      </c>
      <c r="E1806" s="22"/>
      <c r="F1806" s="63"/>
      <c r="G1806" s="186"/>
      <c r="H1806" s="9"/>
      <c r="I1806" s="103"/>
      <c r="J1806" s="103"/>
      <c r="K1806" s="103"/>
    </row>
    <row r="1807" spans="1:11">
      <c r="A1807" s="44"/>
      <c r="B1807" s="22"/>
      <c r="C1807" s="41"/>
      <c r="D1807" s="136"/>
      <c r="E1807" s="22"/>
      <c r="F1807" s="63"/>
      <c r="G1807" s="186"/>
      <c r="H1807" s="9"/>
      <c r="I1807" s="103"/>
      <c r="J1807" s="103"/>
      <c r="K1807" s="103"/>
    </row>
    <row r="1808" spans="1:11">
      <c r="A1808" s="44"/>
      <c r="B1808" s="22" t="s">
        <v>361</v>
      </c>
      <c r="C1808" s="41"/>
      <c r="D1808" s="136"/>
      <c r="E1808" s="22"/>
      <c r="F1808" s="63"/>
      <c r="G1808" s="186"/>
      <c r="H1808" s="9"/>
      <c r="I1808" s="103"/>
      <c r="J1808" s="103"/>
      <c r="K1808" s="103"/>
    </row>
    <row r="1809" spans="1:14">
      <c r="A1809" s="44"/>
      <c r="B1809" s="23" t="s">
        <v>998</v>
      </c>
      <c r="C1809" s="41"/>
      <c r="D1809" s="23">
        <f>9*2*3*1.37</f>
        <v>73.98</v>
      </c>
      <c r="E1809" s="22"/>
      <c r="F1809" s="63"/>
      <c r="G1809" s="186"/>
      <c r="H1809" s="9"/>
      <c r="I1809" s="103"/>
      <c r="J1809" s="103"/>
      <c r="K1809" s="103"/>
    </row>
    <row r="1810" spans="1:14">
      <c r="A1810" s="44"/>
      <c r="B1810" s="23"/>
      <c r="C1810" s="41"/>
      <c r="D1810" s="136"/>
      <c r="E1810" s="22"/>
      <c r="F1810" s="63"/>
      <c r="G1810" s="186"/>
      <c r="H1810" s="9"/>
      <c r="I1810" s="103"/>
      <c r="J1810" s="103"/>
      <c r="K1810" s="103"/>
    </row>
    <row r="1811" spans="1:14">
      <c r="A1811" s="44"/>
      <c r="B1811" s="82" t="s">
        <v>686</v>
      </c>
      <c r="C1811" s="13" t="s">
        <v>39</v>
      </c>
      <c r="D1811" s="136">
        <f>SUM(D1802:D1810)</f>
        <v>123.30000000000001</v>
      </c>
      <c r="E1811" s="10"/>
      <c r="F1811" s="30">
        <f>+D1811*E1811</f>
        <v>0</v>
      </c>
      <c r="G1811" s="193"/>
      <c r="H1811" s="9"/>
      <c r="I1811" s="103"/>
      <c r="J1811" s="103"/>
      <c r="K1811" s="103"/>
    </row>
    <row r="1812" spans="1:14">
      <c r="A1812" s="44"/>
      <c r="B1812" s="305"/>
      <c r="C1812" s="13"/>
      <c r="D1812" s="136"/>
      <c r="E1812" s="10"/>
      <c r="F1812" s="30"/>
      <c r="G1812" s="193"/>
      <c r="H1812" s="9"/>
      <c r="I1812" s="103"/>
      <c r="J1812" s="103"/>
      <c r="K1812" s="103"/>
    </row>
    <row r="1813" spans="1:14" ht="51">
      <c r="A1813" s="44" t="s">
        <v>1205</v>
      </c>
      <c r="B1813" s="225" t="s">
        <v>1206</v>
      </c>
      <c r="C1813" s="13"/>
      <c r="D1813" s="136"/>
      <c r="E1813" s="10"/>
      <c r="F1813" s="30"/>
      <c r="G1813" s="193"/>
      <c r="H1813" s="9"/>
      <c r="I1813" s="103"/>
      <c r="J1813" s="103"/>
      <c r="K1813" s="103"/>
    </row>
    <row r="1814" spans="1:14" ht="38.25">
      <c r="A1814" s="44"/>
      <c r="B1814" s="225" t="s">
        <v>669</v>
      </c>
      <c r="C1814" s="13"/>
      <c r="D1814" s="136"/>
      <c r="E1814" s="10"/>
      <c r="F1814" s="30"/>
      <c r="G1814" s="193"/>
      <c r="H1814" s="9"/>
      <c r="I1814" s="103"/>
      <c r="J1814" s="103"/>
      <c r="K1814" s="103"/>
    </row>
    <row r="1815" spans="1:14" ht="25.5">
      <c r="A1815" s="44"/>
      <c r="B1815" s="225" t="s">
        <v>670</v>
      </c>
      <c r="C1815" s="13"/>
      <c r="D1815" s="136"/>
      <c r="E1815" s="10"/>
      <c r="F1815" s="30"/>
      <c r="G1815" s="193"/>
      <c r="H1815" s="9"/>
      <c r="I1815" s="103"/>
      <c r="J1815" s="103"/>
      <c r="K1815" s="103"/>
    </row>
    <row r="1816" spans="1:14" ht="25.5">
      <c r="A1816" s="44"/>
      <c r="B1816" s="225" t="s">
        <v>672</v>
      </c>
      <c r="C1816" s="13"/>
      <c r="D1816" s="136"/>
      <c r="E1816" s="10"/>
      <c r="F1816" s="30"/>
      <c r="G1816" s="193"/>
      <c r="H1816" s="9"/>
      <c r="I1816" s="103"/>
      <c r="J1816" s="103"/>
      <c r="K1816" s="103"/>
    </row>
    <row r="1817" spans="1:14" ht="25.5">
      <c r="A1817" s="44"/>
      <c r="B1817" s="225" t="s">
        <v>1207</v>
      </c>
      <c r="C1817" s="13"/>
      <c r="D1817" s="136"/>
      <c r="E1817" s="10"/>
      <c r="F1817" s="30"/>
      <c r="G1817" s="193"/>
      <c r="H1817" s="9"/>
      <c r="I1817" s="103"/>
      <c r="J1817" s="103"/>
      <c r="K1817" s="103"/>
    </row>
    <row r="1818" spans="1:14" ht="51">
      <c r="A1818" s="108"/>
      <c r="B1818" s="225" t="s">
        <v>1157</v>
      </c>
      <c r="C1818" s="13"/>
      <c r="D1818" s="21"/>
      <c r="E1818" s="10"/>
      <c r="F1818" s="30"/>
      <c r="G1818" s="193"/>
      <c r="H1818" s="9"/>
      <c r="I1818" s="103"/>
      <c r="J1818" s="103"/>
      <c r="K1818" s="103"/>
    </row>
    <row r="1819" spans="1:14">
      <c r="A1819" s="37"/>
      <c r="B1819" s="28" t="s">
        <v>974</v>
      </c>
      <c r="C1819" s="24" t="s">
        <v>39</v>
      </c>
      <c r="D1819" s="28">
        <f>2.94*3+1.42*2*3+2.94*5*4+1.42*2*5*4</f>
        <v>132.94</v>
      </c>
      <c r="E1819" s="10"/>
      <c r="F1819" s="30">
        <f>E1819*D1819</f>
        <v>0</v>
      </c>
      <c r="G1819" s="193"/>
      <c r="H1819" s="9"/>
      <c r="I1819" s="103"/>
      <c r="J1819" s="103"/>
      <c r="K1819" s="103"/>
    </row>
    <row r="1820" spans="1:14" ht="13.5" thickBot="1">
      <c r="A1820" s="44"/>
      <c r="B1820" s="16"/>
      <c r="C1820" s="13"/>
      <c r="D1820" s="21"/>
      <c r="E1820" s="10"/>
      <c r="F1820" s="30"/>
      <c r="G1820" s="186"/>
      <c r="H1820" s="9"/>
      <c r="I1820" s="103"/>
      <c r="J1820" s="103"/>
      <c r="K1820" s="103"/>
    </row>
    <row r="1821" spans="1:14" ht="15.75" customHeight="1" thickBot="1">
      <c r="A1821" s="57" t="str">
        <f>A1657</f>
        <v>12.</v>
      </c>
      <c r="B1821" s="58" t="s">
        <v>104</v>
      </c>
      <c r="C1821" s="59"/>
      <c r="D1821" s="60"/>
      <c r="E1821" s="61"/>
      <c r="F1821" s="52">
        <f>SUM(F1659:F1820)</f>
        <v>0</v>
      </c>
      <c r="G1821" s="396"/>
      <c r="H1821" s="313"/>
      <c r="I1821" s="397"/>
      <c r="J1821" s="398"/>
      <c r="K1821" s="398"/>
      <c r="L1821" s="2"/>
      <c r="M1821" s="2"/>
      <c r="N1821" s="1"/>
    </row>
    <row r="1822" spans="1:14" ht="15.75" customHeight="1" thickBot="1">
      <c r="A1822" s="62" t="s">
        <v>81</v>
      </c>
      <c r="B1822" s="72" t="s">
        <v>659</v>
      </c>
      <c r="C1822" s="73"/>
      <c r="D1822" s="74"/>
      <c r="E1822" s="74"/>
      <c r="F1822" s="75"/>
      <c r="G1822" s="186"/>
      <c r="H1822" s="313"/>
      <c r="I1822" s="103"/>
      <c r="J1822" s="103"/>
      <c r="K1822" s="103"/>
    </row>
    <row r="1823" spans="1:14">
      <c r="A1823" s="32"/>
      <c r="B1823" s="22"/>
      <c r="C1823" s="22"/>
      <c r="D1823" s="22"/>
      <c r="E1823" s="84"/>
      <c r="F1823" s="63"/>
      <c r="G1823" s="186"/>
      <c r="I1823" s="103"/>
      <c r="J1823" s="103"/>
      <c r="K1823" s="103"/>
    </row>
    <row r="1824" spans="1:14" ht="63.75">
      <c r="A1824" s="135" t="s">
        <v>82</v>
      </c>
      <c r="B1824" s="225" t="s">
        <v>780</v>
      </c>
      <c r="C1824" s="22"/>
      <c r="D1824" s="22"/>
      <c r="E1824" s="22"/>
      <c r="F1824" s="63"/>
      <c r="G1824" s="186"/>
      <c r="I1824" s="103"/>
      <c r="J1824" s="103"/>
      <c r="K1824" s="103"/>
    </row>
    <row r="1825" spans="1:11" ht="140.25">
      <c r="A1825" s="32"/>
      <c r="B1825" s="241" t="s">
        <v>781</v>
      </c>
      <c r="C1825" s="22"/>
      <c r="D1825" s="22"/>
      <c r="E1825" s="22"/>
      <c r="F1825" s="63"/>
      <c r="G1825" s="186"/>
      <c r="I1825" s="103"/>
      <c r="J1825" s="103"/>
      <c r="K1825" s="103"/>
    </row>
    <row r="1826" spans="1:11" ht="102">
      <c r="A1826" s="32"/>
      <c r="B1826" s="241" t="s">
        <v>789</v>
      </c>
      <c r="C1826" s="22"/>
      <c r="D1826" s="22"/>
      <c r="E1826" s="22"/>
      <c r="F1826" s="63"/>
      <c r="G1826" s="186"/>
      <c r="I1826" s="103"/>
      <c r="J1826" s="103"/>
      <c r="K1826" s="103"/>
    </row>
    <row r="1827" spans="1:11" ht="51">
      <c r="A1827" s="32"/>
      <c r="B1827" s="241" t="s">
        <v>785</v>
      </c>
      <c r="C1827" s="22"/>
      <c r="D1827" s="22"/>
      <c r="E1827" s="22"/>
      <c r="F1827" s="63"/>
      <c r="G1827" s="186"/>
      <c r="I1827" s="103"/>
      <c r="J1827" s="103"/>
      <c r="K1827" s="103"/>
    </row>
    <row r="1828" spans="1:11" ht="140.25">
      <c r="A1828" s="32"/>
      <c r="B1828" s="241" t="s">
        <v>786</v>
      </c>
      <c r="C1828" s="22"/>
      <c r="D1828" s="22"/>
      <c r="E1828" s="22"/>
      <c r="F1828" s="63"/>
      <c r="G1828" s="186"/>
      <c r="I1828" s="103"/>
      <c r="J1828" s="103"/>
      <c r="K1828" s="103"/>
    </row>
    <row r="1829" spans="1:11" ht="63.75">
      <c r="A1829" s="32"/>
      <c r="B1829" s="225" t="s">
        <v>778</v>
      </c>
      <c r="C1829" s="22"/>
      <c r="D1829" s="22"/>
      <c r="E1829" s="22"/>
      <c r="F1829" s="63"/>
      <c r="G1829" s="186"/>
      <c r="I1829" s="103"/>
      <c r="J1829" s="103"/>
      <c r="K1829" s="103"/>
    </row>
    <row r="1830" spans="1:11" ht="25.5">
      <c r="A1830" s="198"/>
      <c r="B1830" s="288" t="s">
        <v>779</v>
      </c>
      <c r="C1830" s="196"/>
      <c r="D1830" s="196"/>
      <c r="E1830" s="196"/>
      <c r="F1830" s="197"/>
      <c r="G1830" s="186"/>
      <c r="H1830" s="249"/>
      <c r="I1830" s="103"/>
      <c r="J1830" s="103"/>
      <c r="K1830" s="103"/>
    </row>
    <row r="1831" spans="1:11">
      <c r="A1831" s="32"/>
      <c r="B1831" s="112"/>
      <c r="C1831" s="22"/>
      <c r="D1831" s="22"/>
      <c r="E1831" s="22"/>
      <c r="F1831" s="63"/>
      <c r="G1831" s="186"/>
      <c r="H1831" s="249"/>
      <c r="I1831" s="103"/>
      <c r="J1831" s="103"/>
      <c r="K1831" s="103"/>
    </row>
    <row r="1832" spans="1:11">
      <c r="A1832" s="32"/>
      <c r="B1832" s="22" t="s">
        <v>27</v>
      </c>
      <c r="C1832" s="41"/>
      <c r="D1832" s="136"/>
      <c r="E1832" s="22"/>
      <c r="F1832" s="63"/>
      <c r="G1832" s="186"/>
      <c r="I1832" s="103"/>
      <c r="J1832" s="103"/>
      <c r="K1832" s="103"/>
    </row>
    <row r="1833" spans="1:11" ht="51">
      <c r="A1833" s="32"/>
      <c r="B1833" s="23" t="s">
        <v>1001</v>
      </c>
      <c r="C1833" s="41"/>
      <c r="D1833" s="78">
        <f>4.98+24.39+11.61+11.32+1.24+6.46+24.15+9.17+12.79+12.2+3.22+1.37+20.41+7.54+0.96+21.24+5.87+23.48+11.56+11.4+1.24+3.17+23.11</f>
        <v>252.88000000000005</v>
      </c>
      <c r="E1833" s="22"/>
      <c r="F1833" s="63"/>
      <c r="G1833" s="186"/>
      <c r="I1833" s="103"/>
      <c r="J1833" s="103"/>
      <c r="K1833" s="103"/>
    </row>
    <row r="1834" spans="1:11">
      <c r="A1834" s="32"/>
      <c r="B1834" s="134"/>
      <c r="C1834" s="41"/>
      <c r="D1834" s="134"/>
      <c r="E1834" s="22"/>
      <c r="F1834" s="63"/>
      <c r="G1834" s="186"/>
      <c r="I1834" s="103"/>
      <c r="J1834" s="103"/>
      <c r="K1834" s="103"/>
    </row>
    <row r="1835" spans="1:11">
      <c r="A1835" s="32"/>
      <c r="B1835" s="22" t="s">
        <v>360</v>
      </c>
      <c r="C1835" s="41"/>
      <c r="D1835" s="136"/>
      <c r="E1835" s="22"/>
      <c r="F1835" s="63"/>
      <c r="G1835" s="186"/>
      <c r="I1835" s="103"/>
      <c r="J1835" s="103"/>
      <c r="K1835" s="103"/>
    </row>
    <row r="1836" spans="1:11" ht="51">
      <c r="A1836" s="32"/>
      <c r="B1836" s="23" t="s">
        <v>1002</v>
      </c>
      <c r="C1836" s="41"/>
      <c r="D1836" s="78">
        <f>4.98+24.39+11.61+11.32+1.24+4.53+20.46+12.45+5.13+20.56+10.97+1.37+20.41+7.54+0.96+21.24+5.87+23.78+11.56+11.4+1.24+3.17+23.11</f>
        <v>259.29000000000002</v>
      </c>
      <c r="E1836" s="22"/>
      <c r="F1836" s="63"/>
      <c r="G1836" s="186"/>
      <c r="I1836" s="103"/>
      <c r="J1836" s="103"/>
      <c r="K1836" s="103"/>
    </row>
    <row r="1837" spans="1:11">
      <c r="A1837" s="32"/>
      <c r="B1837" s="22"/>
      <c r="C1837" s="41"/>
      <c r="D1837" s="136"/>
      <c r="E1837" s="22"/>
      <c r="F1837" s="63"/>
      <c r="G1837" s="186"/>
      <c r="I1837" s="103"/>
      <c r="J1837" s="103"/>
      <c r="K1837" s="103"/>
    </row>
    <row r="1838" spans="1:11">
      <c r="A1838" s="32"/>
      <c r="B1838" s="22" t="s">
        <v>361</v>
      </c>
      <c r="C1838" s="41"/>
      <c r="D1838" s="136"/>
      <c r="E1838" s="22"/>
      <c r="F1838" s="63"/>
      <c r="G1838" s="186"/>
      <c r="I1838" s="103"/>
      <c r="J1838" s="103"/>
      <c r="K1838" s="103"/>
    </row>
    <row r="1839" spans="1:11" ht="51">
      <c r="A1839" s="32"/>
      <c r="B1839" s="23" t="s">
        <v>1003</v>
      </c>
      <c r="C1839" s="41"/>
      <c r="D1839" s="78">
        <f>(4.98+24.39+11.61+11.32+1.24+4.53+20.46+12.45+5.13+20.56+10.97+1.37+20.41+7.54+0.96+21.24+5.87+23.78+11.56+11.4+1.24+3.17+23.11)*3</f>
        <v>777.87000000000012</v>
      </c>
      <c r="E1839" s="22"/>
      <c r="F1839" s="63"/>
      <c r="G1839" s="186"/>
      <c r="I1839" s="103"/>
      <c r="J1839" s="103"/>
      <c r="K1839" s="103"/>
    </row>
    <row r="1840" spans="1:11">
      <c r="A1840" s="32"/>
      <c r="B1840" s="82"/>
      <c r="C1840" s="41"/>
      <c r="D1840" s="136"/>
      <c r="E1840" s="22"/>
      <c r="F1840" s="63"/>
      <c r="G1840" s="186"/>
      <c r="I1840" s="103"/>
      <c r="J1840" s="103"/>
      <c r="K1840" s="103"/>
    </row>
    <row r="1841" spans="1:11">
      <c r="A1841" s="32"/>
      <c r="B1841" s="111" t="s">
        <v>782</v>
      </c>
      <c r="C1841" s="366" t="s">
        <v>38</v>
      </c>
      <c r="D1841" s="78">
        <f>SUM(D1833:D1839)</f>
        <v>1290.0400000000002</v>
      </c>
      <c r="E1841" s="10"/>
      <c r="F1841" s="31">
        <f>E1841*D1841</f>
        <v>0</v>
      </c>
      <c r="G1841" s="193"/>
      <c r="I1841" s="103"/>
      <c r="J1841" s="103"/>
      <c r="K1841" s="103"/>
    </row>
    <row r="1842" spans="1:11">
      <c r="A1842" s="32"/>
      <c r="B1842" s="103"/>
      <c r="C1842" s="22"/>
      <c r="D1842" s="22"/>
      <c r="E1842" s="22"/>
      <c r="F1842" s="63"/>
      <c r="G1842" s="186"/>
      <c r="I1842" s="103"/>
      <c r="J1842" s="103"/>
      <c r="K1842" s="103"/>
    </row>
    <row r="1843" spans="1:11" ht="76.5">
      <c r="A1843" s="135" t="s">
        <v>210</v>
      </c>
      <c r="B1843" s="103" t="s">
        <v>787</v>
      </c>
      <c r="C1843" s="22"/>
      <c r="D1843" s="22"/>
      <c r="E1843" s="22"/>
      <c r="F1843" s="63"/>
      <c r="G1843" s="186"/>
      <c r="I1843" s="103"/>
      <c r="J1843" s="103"/>
      <c r="K1843" s="103"/>
    </row>
    <row r="1844" spans="1:11" ht="38.25">
      <c r="A1844" s="32"/>
      <c r="B1844" s="103" t="s">
        <v>783</v>
      </c>
      <c r="C1844" s="22"/>
      <c r="D1844" s="22"/>
      <c r="E1844" s="22"/>
      <c r="F1844" s="63"/>
      <c r="G1844" s="186"/>
      <c r="I1844" s="103"/>
      <c r="J1844" s="103"/>
      <c r="K1844" s="103"/>
    </row>
    <row r="1845" spans="1:11">
      <c r="A1845" s="32"/>
      <c r="B1845" s="103" t="s">
        <v>784</v>
      </c>
      <c r="C1845" s="22"/>
      <c r="D1845" s="22"/>
      <c r="E1845" s="22"/>
      <c r="F1845" s="63"/>
      <c r="G1845" s="186"/>
      <c r="I1845" s="103"/>
      <c r="J1845" s="103"/>
      <c r="K1845" s="103"/>
    </row>
    <row r="1846" spans="1:11">
      <c r="A1846" s="32"/>
      <c r="B1846" s="103"/>
      <c r="C1846" s="22"/>
      <c r="D1846" s="22"/>
      <c r="E1846" s="22"/>
      <c r="F1846" s="63"/>
      <c r="G1846" s="186"/>
      <c r="I1846" s="103"/>
      <c r="J1846" s="103"/>
      <c r="K1846" s="103"/>
    </row>
    <row r="1847" spans="1:11">
      <c r="A1847" s="32"/>
      <c r="B1847" s="22" t="s">
        <v>27</v>
      </c>
      <c r="C1847" s="22"/>
      <c r="D1847" s="22"/>
      <c r="E1847" s="22"/>
      <c r="F1847" s="63"/>
      <c r="G1847" s="186"/>
      <c r="I1847" s="103"/>
      <c r="J1847" s="103"/>
      <c r="K1847" s="103"/>
    </row>
    <row r="1848" spans="1:11" ht="51">
      <c r="A1848" s="32"/>
      <c r="B1848" s="23" t="s">
        <v>1006</v>
      </c>
      <c r="C1848" s="22"/>
      <c r="D1848" s="80">
        <f>9.49+24.6+14.28+13.48+4.45+1.99+20.38+12.11+14.6+14.7+8.43+5.11+20.91+11.31+4.04+21.23+10.05+23.9+14.28+13.53+4.45+7.29+19.27</f>
        <v>293.88</v>
      </c>
      <c r="E1848" s="80"/>
      <c r="F1848" s="63"/>
      <c r="G1848" s="186"/>
      <c r="I1848" s="103"/>
      <c r="J1848" s="103"/>
      <c r="K1848" s="103"/>
    </row>
    <row r="1849" spans="1:11">
      <c r="A1849" s="32"/>
      <c r="B1849" s="134"/>
      <c r="C1849" s="22"/>
      <c r="D1849" s="22"/>
      <c r="E1849" s="22"/>
      <c r="F1849" s="63"/>
      <c r="G1849" s="186"/>
      <c r="I1849" s="103"/>
      <c r="J1849" s="103"/>
      <c r="K1849" s="103"/>
    </row>
    <row r="1850" spans="1:11">
      <c r="A1850" s="32"/>
      <c r="B1850" s="22" t="s">
        <v>360</v>
      </c>
      <c r="C1850" s="22"/>
      <c r="D1850" s="22"/>
      <c r="E1850" s="22"/>
      <c r="F1850" s="63"/>
      <c r="G1850" s="186"/>
      <c r="I1850" s="103"/>
      <c r="J1850" s="103"/>
      <c r="K1850" s="103"/>
    </row>
    <row r="1851" spans="1:11" ht="51">
      <c r="A1851" s="32"/>
      <c r="B1851" s="23" t="s">
        <v>1004</v>
      </c>
      <c r="C1851" s="22"/>
      <c r="D1851" s="80">
        <f>9.49+24.6+14.28+13.48+4.45+9.1+18.46+14.92+11.01+19.93+13.52+5.11+20.04+11.31+4.04+21.23+10.05+23.9+14.28+13.53+10.05+7.29+19.27</f>
        <v>313.34000000000003</v>
      </c>
      <c r="E1851" s="80"/>
      <c r="F1851" s="63"/>
      <c r="G1851" s="186"/>
      <c r="I1851" s="103"/>
      <c r="J1851" s="103"/>
      <c r="K1851" s="103"/>
    </row>
    <row r="1852" spans="1:11">
      <c r="A1852" s="32"/>
      <c r="B1852" s="22"/>
      <c r="C1852" s="22"/>
      <c r="D1852" s="22"/>
      <c r="E1852" s="22"/>
      <c r="F1852" s="63"/>
      <c r="G1852" s="186"/>
      <c r="I1852" s="103"/>
      <c r="J1852" s="103"/>
      <c r="K1852" s="103"/>
    </row>
    <row r="1853" spans="1:11">
      <c r="A1853" s="32"/>
      <c r="B1853" s="22" t="s">
        <v>361</v>
      </c>
      <c r="C1853" s="22"/>
      <c r="D1853" s="22"/>
      <c r="E1853" s="22"/>
      <c r="F1853" s="63"/>
      <c r="G1853" s="186"/>
      <c r="I1853" s="103"/>
      <c r="J1853" s="103"/>
      <c r="K1853" s="103"/>
    </row>
    <row r="1854" spans="1:11" ht="51">
      <c r="A1854" s="32"/>
      <c r="B1854" s="23" t="s">
        <v>1005</v>
      </c>
      <c r="C1854" s="22"/>
      <c r="D1854" s="80">
        <f>3*(9.49+24.6+14.28+13.48+4.45+9.1+18.46+14.92+11.01+19.93+13.52+5.11+20.04+11.31+4.04+21.23+10.05+23.9+14.28+13.53+10.05+7.29+19.27)</f>
        <v>940.0200000000001</v>
      </c>
      <c r="E1854" s="80"/>
      <c r="F1854" s="63"/>
      <c r="G1854" s="186"/>
      <c r="I1854" s="103"/>
      <c r="J1854" s="103"/>
      <c r="K1854" s="103"/>
    </row>
    <row r="1855" spans="1:11">
      <c r="A1855" s="32"/>
      <c r="B1855" s="22"/>
      <c r="C1855" s="22"/>
      <c r="D1855" s="22"/>
      <c r="E1855" s="22"/>
      <c r="F1855" s="63"/>
      <c r="G1855" s="186"/>
      <c r="I1855" s="103"/>
      <c r="J1855" s="103"/>
      <c r="K1855" s="103"/>
    </row>
    <row r="1856" spans="1:11">
      <c r="A1856" s="198"/>
      <c r="B1856" s="196" t="s">
        <v>658</v>
      </c>
      <c r="C1856" s="367" t="s">
        <v>39</v>
      </c>
      <c r="D1856" s="215">
        <f>SUM(D1848:D1854)</f>
        <v>1547.2400000000002</v>
      </c>
      <c r="E1856" s="215"/>
      <c r="F1856" s="211">
        <f>E1856*D1856</f>
        <v>0</v>
      </c>
      <c r="G1856" s="193"/>
      <c r="I1856" s="103"/>
      <c r="J1856" s="103"/>
      <c r="K1856" s="103"/>
    </row>
    <row r="1857" spans="1:11">
      <c r="A1857" s="32"/>
      <c r="B1857" s="368"/>
      <c r="C1857" s="369"/>
      <c r="D1857" s="370"/>
      <c r="E1857" s="40"/>
      <c r="F1857" s="31"/>
      <c r="G1857" s="193"/>
      <c r="I1857" s="103"/>
      <c r="J1857" s="103"/>
      <c r="K1857" s="103"/>
    </row>
    <row r="1858" spans="1:11" ht="25.5">
      <c r="A1858" s="135" t="s">
        <v>210</v>
      </c>
      <c r="B1858" s="371" t="s">
        <v>720</v>
      </c>
      <c r="C1858" s="318"/>
      <c r="D1858" s="318"/>
      <c r="E1858" s="22"/>
      <c r="F1858" s="63"/>
      <c r="G1858" s="186"/>
      <c r="I1858" s="103"/>
      <c r="J1858" s="103"/>
      <c r="K1858" s="103"/>
    </row>
    <row r="1859" spans="1:11" ht="38.25">
      <c r="A1859" s="32"/>
      <c r="B1859" s="371" t="s">
        <v>684</v>
      </c>
      <c r="C1859" s="318"/>
      <c r="D1859" s="318"/>
      <c r="E1859" s="22"/>
      <c r="F1859" s="63"/>
      <c r="G1859" s="186"/>
      <c r="I1859" s="103"/>
      <c r="J1859" s="103"/>
      <c r="K1859" s="103"/>
    </row>
    <row r="1860" spans="1:11">
      <c r="A1860" s="32"/>
      <c r="B1860" s="371" t="s">
        <v>685</v>
      </c>
      <c r="C1860" s="318"/>
      <c r="D1860" s="318"/>
      <c r="E1860" s="22"/>
      <c r="F1860" s="63"/>
      <c r="G1860" s="186"/>
      <c r="I1860" s="103"/>
      <c r="J1860" s="103"/>
      <c r="K1860" s="103"/>
    </row>
    <row r="1861" spans="1:11">
      <c r="A1861" s="32"/>
      <c r="B1861" s="372"/>
      <c r="C1861" s="318"/>
      <c r="D1861" s="318"/>
      <c r="E1861" s="22"/>
      <c r="F1861" s="63"/>
      <c r="G1861" s="186"/>
      <c r="I1861" s="103"/>
      <c r="J1861" s="103"/>
      <c r="K1861" s="103"/>
    </row>
    <row r="1862" spans="1:11">
      <c r="A1862" s="32"/>
      <c r="B1862" s="318" t="s">
        <v>27</v>
      </c>
      <c r="C1862" s="318"/>
      <c r="D1862" s="318"/>
      <c r="E1862" s="22"/>
      <c r="F1862" s="63"/>
      <c r="G1862" s="186"/>
      <c r="I1862" s="103"/>
      <c r="J1862" s="103"/>
      <c r="K1862" s="103"/>
    </row>
    <row r="1863" spans="1:11">
      <c r="A1863" s="32"/>
      <c r="B1863" s="373" t="s">
        <v>1007</v>
      </c>
      <c r="C1863" s="318"/>
      <c r="D1863" s="318">
        <f>0.8*9</f>
        <v>7.2</v>
      </c>
      <c r="E1863" s="22"/>
      <c r="F1863" s="63"/>
      <c r="G1863" s="186"/>
      <c r="I1863" s="103"/>
      <c r="J1863" s="103"/>
      <c r="K1863" s="103"/>
    </row>
    <row r="1864" spans="1:11">
      <c r="A1864" s="32"/>
      <c r="B1864" s="374"/>
      <c r="C1864" s="318"/>
      <c r="D1864" s="318"/>
      <c r="E1864" s="22"/>
      <c r="F1864" s="63"/>
      <c r="G1864" s="186"/>
      <c r="I1864" s="103"/>
      <c r="J1864" s="103"/>
      <c r="K1864" s="103"/>
    </row>
    <row r="1865" spans="1:11">
      <c r="A1865" s="32"/>
      <c r="B1865" s="318" t="s">
        <v>360</v>
      </c>
      <c r="C1865" s="318"/>
      <c r="D1865" s="318"/>
      <c r="E1865" s="22"/>
      <c r="F1865" s="63"/>
      <c r="G1865" s="186"/>
      <c r="I1865" s="103"/>
      <c r="J1865" s="103"/>
      <c r="K1865" s="103"/>
    </row>
    <row r="1866" spans="1:11">
      <c r="A1866" s="32"/>
      <c r="B1866" s="373" t="s">
        <v>1007</v>
      </c>
      <c r="C1866" s="318"/>
      <c r="D1866" s="318">
        <f>0.8*9</f>
        <v>7.2</v>
      </c>
      <c r="E1866" s="22"/>
      <c r="F1866" s="63"/>
      <c r="G1866" s="186"/>
      <c r="I1866" s="103"/>
      <c r="J1866" s="103"/>
      <c r="K1866" s="103"/>
    </row>
    <row r="1867" spans="1:11">
      <c r="A1867" s="32"/>
      <c r="B1867" s="318"/>
      <c r="C1867" s="318"/>
      <c r="D1867" s="318"/>
      <c r="E1867" s="22"/>
      <c r="F1867" s="63"/>
      <c r="G1867" s="186"/>
      <c r="I1867" s="103"/>
      <c r="J1867" s="103"/>
      <c r="K1867" s="103"/>
    </row>
    <row r="1868" spans="1:11">
      <c r="A1868" s="32"/>
      <c r="B1868" s="318" t="s">
        <v>361</v>
      </c>
      <c r="C1868" s="318"/>
      <c r="D1868" s="318"/>
      <c r="E1868" s="22"/>
      <c r="F1868" s="63"/>
      <c r="G1868" s="186"/>
      <c r="I1868" s="103"/>
      <c r="J1868" s="103"/>
      <c r="K1868" s="103"/>
    </row>
    <row r="1869" spans="1:11">
      <c r="A1869" s="32"/>
      <c r="B1869" s="373" t="s">
        <v>1008</v>
      </c>
      <c r="C1869" s="318"/>
      <c r="D1869" s="318">
        <f>0.8*9*3</f>
        <v>21.6</v>
      </c>
      <c r="E1869" s="22"/>
      <c r="F1869" s="63"/>
      <c r="G1869" s="186"/>
      <c r="I1869" s="103"/>
      <c r="J1869" s="103"/>
      <c r="K1869" s="103"/>
    </row>
    <row r="1870" spans="1:11">
      <c r="A1870" s="32"/>
      <c r="B1870" s="318"/>
      <c r="C1870" s="318"/>
      <c r="D1870" s="318"/>
      <c r="E1870" s="22"/>
      <c r="F1870" s="63"/>
      <c r="G1870" s="186"/>
      <c r="I1870" s="103"/>
      <c r="J1870" s="103"/>
      <c r="K1870" s="103"/>
    </row>
    <row r="1871" spans="1:11">
      <c r="A1871" s="32"/>
      <c r="B1871" s="318" t="s">
        <v>683</v>
      </c>
      <c r="C1871" s="369" t="s">
        <v>39</v>
      </c>
      <c r="D1871" s="370">
        <f>SUM(D1860:D1869)</f>
        <v>36</v>
      </c>
      <c r="E1871" s="40"/>
      <c r="F1871" s="31">
        <f>E1871*D1871</f>
        <v>0</v>
      </c>
      <c r="G1871" s="193"/>
      <c r="I1871" s="103"/>
      <c r="J1871" s="103"/>
      <c r="K1871" s="103"/>
    </row>
    <row r="1872" spans="1:11" ht="13.5" thickBot="1">
      <c r="A1872" s="32"/>
      <c r="B1872" s="22"/>
      <c r="C1872" s="22"/>
      <c r="D1872" s="22"/>
      <c r="E1872" s="22"/>
      <c r="F1872" s="63"/>
      <c r="G1872" s="186"/>
      <c r="I1872" s="103"/>
      <c r="J1872" s="103"/>
      <c r="K1872" s="103"/>
    </row>
    <row r="1873" spans="1:11" ht="15.75" customHeight="1" thickBot="1">
      <c r="A1873" s="57" t="str">
        <f>A1822</f>
        <v>13.</v>
      </c>
      <c r="B1873" s="58" t="s">
        <v>660</v>
      </c>
      <c r="C1873" s="59"/>
      <c r="D1873" s="60"/>
      <c r="E1873" s="61"/>
      <c r="F1873" s="52">
        <f>SUM(F1823:F1872)</f>
        <v>0</v>
      </c>
      <c r="G1873" s="396"/>
      <c r="I1873" s="103"/>
      <c r="J1873" s="103"/>
      <c r="K1873" s="103"/>
    </row>
    <row r="1874" spans="1:11" ht="15.75" customHeight="1" thickBot="1">
      <c r="A1874" s="62" t="s">
        <v>76</v>
      </c>
      <c r="B1874" s="72" t="s">
        <v>19</v>
      </c>
      <c r="C1874" s="73"/>
      <c r="D1874" s="74"/>
      <c r="E1874" s="74"/>
      <c r="F1874" s="75"/>
      <c r="G1874" s="186"/>
      <c r="I1874" s="103"/>
      <c r="J1874" s="103"/>
      <c r="K1874" s="103"/>
    </row>
    <row r="1875" spans="1:11">
      <c r="A1875" s="32"/>
      <c r="B1875" s="22"/>
      <c r="C1875" s="22"/>
      <c r="D1875" s="22"/>
      <c r="E1875" s="22"/>
      <c r="F1875" s="63"/>
      <c r="G1875" s="186"/>
      <c r="I1875" s="103"/>
      <c r="J1875" s="103"/>
      <c r="K1875" s="103"/>
    </row>
    <row r="1876" spans="1:11" ht="51">
      <c r="A1876" s="44" t="s">
        <v>77</v>
      </c>
      <c r="B1876" s="16" t="s">
        <v>687</v>
      </c>
      <c r="C1876" s="22"/>
      <c r="D1876" s="22"/>
      <c r="E1876" s="22"/>
      <c r="F1876" s="63"/>
      <c r="G1876" s="186"/>
      <c r="I1876" s="103"/>
      <c r="J1876" s="103"/>
      <c r="K1876" s="103"/>
    </row>
    <row r="1877" spans="1:11" ht="51">
      <c r="A1877" s="32"/>
      <c r="B1877" s="16" t="s">
        <v>688</v>
      </c>
      <c r="C1877" s="22"/>
      <c r="D1877" s="22"/>
      <c r="E1877" s="22"/>
      <c r="F1877" s="63"/>
      <c r="G1877" s="186"/>
      <c r="I1877" s="103"/>
      <c r="J1877" s="103"/>
      <c r="K1877" s="103"/>
    </row>
    <row r="1878" spans="1:11" ht="25.5">
      <c r="A1878" s="32"/>
      <c r="B1878" s="16" t="s">
        <v>689</v>
      </c>
      <c r="C1878" s="22"/>
      <c r="D1878" s="22"/>
      <c r="E1878" s="22"/>
      <c r="F1878" s="63"/>
      <c r="G1878" s="186"/>
      <c r="I1878" s="103"/>
      <c r="J1878" s="103"/>
      <c r="K1878" s="103"/>
    </row>
    <row r="1879" spans="1:11">
      <c r="A1879" s="32"/>
      <c r="B1879" s="10" t="s">
        <v>109</v>
      </c>
      <c r="C1879" s="22"/>
      <c r="D1879" s="22"/>
      <c r="E1879" s="22"/>
      <c r="F1879" s="63"/>
      <c r="G1879" s="186"/>
      <c r="I1879" s="103"/>
      <c r="J1879" s="103"/>
      <c r="K1879" s="103"/>
    </row>
    <row r="1880" spans="1:11" s="103" customFormat="1">
      <c r="A1880" s="32"/>
      <c r="B1880" s="10"/>
      <c r="C1880" s="22"/>
      <c r="D1880" s="22"/>
      <c r="E1880" s="22"/>
      <c r="F1880" s="63"/>
      <c r="G1880" s="186"/>
    </row>
    <row r="1881" spans="1:11">
      <c r="A1881" s="145" t="s">
        <v>732</v>
      </c>
      <c r="B1881" s="10" t="s">
        <v>690</v>
      </c>
      <c r="C1881" s="22"/>
      <c r="D1881" s="22"/>
      <c r="E1881" s="22"/>
      <c r="F1881" s="63"/>
      <c r="G1881" s="186"/>
      <c r="I1881" s="103"/>
      <c r="J1881" s="103"/>
      <c r="K1881" s="103"/>
    </row>
    <row r="1882" spans="1:11">
      <c r="A1882" s="32"/>
      <c r="B1882" s="22" t="s">
        <v>27</v>
      </c>
      <c r="C1882" s="22"/>
      <c r="D1882" s="22"/>
      <c r="E1882" s="22"/>
      <c r="F1882" s="63"/>
      <c r="G1882" s="186"/>
      <c r="I1882" s="103"/>
      <c r="J1882" s="103"/>
      <c r="K1882" s="103"/>
    </row>
    <row r="1883" spans="1:11" ht="89.25">
      <c r="A1883" s="32"/>
      <c r="B1883" s="23" t="s">
        <v>1009</v>
      </c>
      <c r="C1883" s="22"/>
      <c r="D1883" s="80">
        <f>2.67*(9.49+24.6+10.33+14.28+13.48+4.45+11.99+20.83+9.81+12.11+14.6+14.7+8.34+5.11+20.91+8.54+11.31+4.04+21.23+8.72+10.05+23.9+10+14.28+13.53+4.45+7.29+19.27+8.8)-(2.1*1.6*2+(0.9*2.4+1.8*1.6)*3+(0.9*2.4+1.5*1.6)+2.7*1.6-3*7)</f>
        <v>952.65479999999968</v>
      </c>
      <c r="E1883" s="22"/>
      <c r="F1883" s="63"/>
      <c r="G1883" s="186"/>
      <c r="I1883" s="103"/>
      <c r="J1883" s="103"/>
      <c r="K1883" s="103"/>
    </row>
    <row r="1884" spans="1:11">
      <c r="A1884" s="32"/>
      <c r="B1884" s="22"/>
      <c r="C1884" s="22"/>
      <c r="D1884" s="22"/>
      <c r="E1884" s="22"/>
      <c r="F1884" s="63"/>
      <c r="G1884" s="186"/>
      <c r="I1884" s="103"/>
      <c r="J1884" s="103"/>
      <c r="K1884" s="103"/>
    </row>
    <row r="1885" spans="1:11">
      <c r="A1885" s="32"/>
      <c r="B1885" s="22" t="s">
        <v>360</v>
      </c>
      <c r="C1885" s="22"/>
      <c r="D1885" s="22"/>
      <c r="E1885" s="22"/>
      <c r="F1885" s="63"/>
      <c r="G1885" s="186"/>
      <c r="I1885" s="103"/>
      <c r="J1885" s="103"/>
      <c r="K1885" s="103"/>
    </row>
    <row r="1886" spans="1:11" ht="89.25">
      <c r="A1886" s="32"/>
      <c r="B1886" s="23" t="s">
        <v>1010</v>
      </c>
      <c r="C1886" s="22"/>
      <c r="D1886" s="80">
        <f>2.67*(9.49+24.6+10.33+14.28+13.48+4.45+9.1+18.46+8.6+14.92+11.01+19.93+8.52+13.52+5.11+20.4+8.54+11.31+4.04+21.23+8.82+10.05+23.9+10+14.28+10.05+7.29+19.27+8.8)-(2.1*1.6*2+(0.9*2.4+1.8*1.6)*4+(0.9*2.4+1.5*1.6)-3*7)</f>
        <v>960.85260000000005</v>
      </c>
      <c r="E1886" s="22"/>
      <c r="F1886" s="63"/>
      <c r="G1886" s="186"/>
      <c r="I1886" s="103"/>
      <c r="J1886" s="103"/>
      <c r="K1886" s="103"/>
    </row>
    <row r="1887" spans="1:11">
      <c r="A1887" s="32"/>
      <c r="B1887" s="22"/>
      <c r="C1887" s="22"/>
      <c r="D1887" s="22"/>
      <c r="E1887" s="22"/>
      <c r="F1887" s="63"/>
      <c r="G1887" s="186"/>
      <c r="I1887" s="103"/>
      <c r="J1887" s="103"/>
      <c r="K1887" s="103"/>
    </row>
    <row r="1888" spans="1:11">
      <c r="A1888" s="32"/>
      <c r="B1888" s="22" t="s">
        <v>361</v>
      </c>
      <c r="C1888" s="22"/>
      <c r="D1888" s="22"/>
      <c r="E1888" s="22"/>
      <c r="F1888" s="63"/>
      <c r="G1888" s="186"/>
      <c r="I1888" s="103"/>
      <c r="J1888" s="103"/>
      <c r="K1888" s="103"/>
    </row>
    <row r="1889" spans="1:11" ht="89.25">
      <c r="A1889" s="32"/>
      <c r="B1889" s="23" t="s">
        <v>1011</v>
      </c>
      <c r="C1889" s="22"/>
      <c r="D1889" s="80">
        <f>2.67*(9.49+24.6+10.33+14.28+13.48+4.45+9.1+18.46+8.6+14.92+11.01+19.93+8.52+13.52+5.11+20.4+8.54+11.31+4.04+21.23+8.82+10.05+23.9+10+14.28+10.05+7.29+19.27+8.8)*3-(2.1*1.6*2+(0.9*2.4+1.8*1.6)*4+(0.9*2.4+1.5*1.6)-3*7)*3</f>
        <v>2882.5578</v>
      </c>
      <c r="E1889" s="22"/>
      <c r="F1889" s="63"/>
      <c r="G1889" s="186"/>
      <c r="I1889" s="103"/>
      <c r="J1889" s="103"/>
      <c r="K1889" s="103"/>
    </row>
    <row r="1890" spans="1:11">
      <c r="A1890" s="32"/>
      <c r="B1890" s="23"/>
      <c r="C1890" s="22"/>
      <c r="D1890" s="80"/>
      <c r="E1890" s="22"/>
      <c r="F1890" s="63"/>
      <c r="G1890" s="186"/>
      <c r="I1890" s="103"/>
      <c r="J1890" s="103"/>
      <c r="K1890" s="103"/>
    </row>
    <row r="1891" spans="1:11">
      <c r="A1891" s="289"/>
      <c r="B1891" s="375" t="s">
        <v>686</v>
      </c>
      <c r="C1891" s="376" t="s">
        <v>38</v>
      </c>
      <c r="D1891" s="377">
        <f>SUM(D1883:D1890)</f>
        <v>4796.0652</v>
      </c>
      <c r="E1891" s="285"/>
      <c r="F1891" s="290">
        <f>E1891*D1891</f>
        <v>0</v>
      </c>
      <c r="G1891" s="193"/>
      <c r="H1891" s="357"/>
      <c r="I1891" s="103"/>
      <c r="J1891" s="103"/>
      <c r="K1891" s="103"/>
    </row>
    <row r="1892" spans="1:11">
      <c r="A1892" s="99"/>
      <c r="B1892" s="100"/>
      <c r="C1892" s="101"/>
      <c r="D1892" s="102"/>
      <c r="E1892" s="39"/>
      <c r="F1892" s="242"/>
      <c r="G1892" s="186"/>
      <c r="H1892" s="357"/>
      <c r="I1892" s="103"/>
      <c r="J1892" s="103"/>
      <c r="K1892" s="103"/>
    </row>
    <row r="1893" spans="1:11">
      <c r="A1893" s="145" t="s">
        <v>733</v>
      </c>
      <c r="B1893" s="10" t="s">
        <v>691</v>
      </c>
      <c r="C1893" s="22"/>
      <c r="D1893" s="22"/>
      <c r="E1893" s="22"/>
      <c r="F1893" s="63"/>
      <c r="G1893" s="186"/>
      <c r="H1893" s="357"/>
      <c r="I1893" s="103"/>
      <c r="J1893" s="103"/>
      <c r="K1893" s="103"/>
    </row>
    <row r="1894" spans="1:11">
      <c r="A1894" s="99"/>
      <c r="B1894" s="22" t="s">
        <v>27</v>
      </c>
      <c r="C1894" s="22"/>
      <c r="D1894" s="22"/>
      <c r="E1894" s="22"/>
      <c r="F1894" s="63"/>
      <c r="G1894" s="186"/>
      <c r="H1894" s="357"/>
      <c r="I1894" s="103"/>
      <c r="J1894" s="103"/>
      <c r="K1894" s="103"/>
    </row>
    <row r="1895" spans="1:11" ht="25.5">
      <c r="A1895" s="99"/>
      <c r="B1895" s="23" t="s">
        <v>1012</v>
      </c>
      <c r="C1895" s="22"/>
      <c r="D1895" s="80">
        <f>64.98+79.88+30.26+30.42+64.86+35.35+33.11+11.97+2.54</f>
        <v>353.37000000000012</v>
      </c>
      <c r="E1895" s="22"/>
      <c r="F1895" s="63"/>
      <c r="G1895" s="186"/>
      <c r="H1895" s="357"/>
      <c r="I1895" s="103"/>
      <c r="J1895" s="103"/>
      <c r="K1895" s="103"/>
    </row>
    <row r="1896" spans="1:11">
      <c r="A1896" s="99"/>
      <c r="B1896" s="22"/>
      <c r="C1896" s="22"/>
      <c r="D1896" s="22"/>
      <c r="E1896" s="22"/>
      <c r="F1896" s="63"/>
      <c r="G1896" s="186"/>
      <c r="H1896" s="357"/>
      <c r="I1896" s="103"/>
      <c r="J1896" s="103"/>
      <c r="K1896" s="103"/>
    </row>
    <row r="1897" spans="1:11">
      <c r="A1897" s="99"/>
      <c r="B1897" s="22" t="s">
        <v>360</v>
      </c>
      <c r="C1897" s="22"/>
      <c r="D1897" s="22"/>
      <c r="E1897" s="22"/>
      <c r="F1897" s="63"/>
      <c r="G1897" s="186"/>
      <c r="H1897" s="357"/>
      <c r="I1897" s="103"/>
      <c r="J1897" s="103"/>
      <c r="K1897" s="103"/>
    </row>
    <row r="1898" spans="1:11" ht="25.5">
      <c r="A1898" s="99"/>
      <c r="B1898" s="23" t="s">
        <v>1013</v>
      </c>
      <c r="C1898" s="22"/>
      <c r="D1898" s="80">
        <f>64.98+45.56+44.78+30.26+30.42+64.68+35.35+37.34</f>
        <v>353.37</v>
      </c>
      <c r="E1898" s="22"/>
      <c r="F1898" s="63"/>
      <c r="G1898" s="186"/>
      <c r="H1898" s="357"/>
      <c r="I1898" s="103"/>
      <c r="J1898" s="103"/>
      <c r="K1898" s="103"/>
    </row>
    <row r="1899" spans="1:11">
      <c r="A1899" s="99"/>
      <c r="B1899" s="22"/>
      <c r="C1899" s="22"/>
      <c r="D1899" s="22"/>
      <c r="E1899" s="22"/>
      <c r="F1899" s="63"/>
      <c r="G1899" s="186"/>
      <c r="H1899" s="357"/>
      <c r="I1899" s="103"/>
      <c r="J1899" s="103"/>
      <c r="K1899" s="103"/>
    </row>
    <row r="1900" spans="1:11">
      <c r="A1900" s="99"/>
      <c r="B1900" s="22" t="s">
        <v>361</v>
      </c>
      <c r="C1900" s="13"/>
      <c r="D1900" s="378"/>
      <c r="E1900" s="22"/>
      <c r="F1900" s="63"/>
      <c r="G1900" s="186"/>
      <c r="H1900" s="357"/>
      <c r="I1900" s="103"/>
      <c r="J1900" s="103"/>
      <c r="K1900" s="103"/>
    </row>
    <row r="1901" spans="1:11" ht="25.5">
      <c r="A1901" s="99"/>
      <c r="B1901" s="23" t="s">
        <v>1014</v>
      </c>
      <c r="C1901" s="13"/>
      <c r="D1901" s="134">
        <f>(64.98+45.56+44.78+30.26+30.42+64.68+35.35+37.34)*3</f>
        <v>1060.1100000000001</v>
      </c>
      <c r="E1901" s="22"/>
      <c r="F1901" s="63"/>
      <c r="G1901" s="186"/>
      <c r="H1901" s="357"/>
      <c r="I1901" s="103"/>
      <c r="J1901" s="103"/>
      <c r="K1901" s="103"/>
    </row>
    <row r="1902" spans="1:11">
      <c r="A1902" s="99"/>
      <c r="B1902" s="21"/>
      <c r="C1902" s="13"/>
      <c r="D1902" s="21"/>
      <c r="E1902" s="22"/>
      <c r="F1902" s="63"/>
      <c r="G1902" s="186"/>
      <c r="H1902" s="357"/>
      <c r="I1902" s="103"/>
      <c r="J1902" s="103"/>
      <c r="K1902" s="103"/>
    </row>
    <row r="1903" spans="1:11">
      <c r="A1903" s="99"/>
      <c r="B1903" s="100" t="s">
        <v>661</v>
      </c>
      <c r="C1903" s="101" t="s">
        <v>38</v>
      </c>
      <c r="D1903" s="102">
        <f>SUM(D1891:D1902)</f>
        <v>6562.9151999999995</v>
      </c>
      <c r="E1903" s="39"/>
      <c r="F1903" s="242">
        <f>E1903*D1903</f>
        <v>0</v>
      </c>
      <c r="G1903" s="193"/>
      <c r="H1903" s="357"/>
      <c r="I1903" s="103"/>
      <c r="J1903" s="103"/>
      <c r="K1903" s="103"/>
    </row>
    <row r="1904" spans="1:11">
      <c r="A1904" s="99"/>
      <c r="B1904" s="21"/>
      <c r="C1904" s="13"/>
      <c r="D1904" s="15"/>
      <c r="E1904" s="14"/>
      <c r="F1904" s="242"/>
      <c r="G1904" s="186"/>
      <c r="H1904" s="138"/>
      <c r="I1904" s="103"/>
      <c r="J1904" s="103"/>
      <c r="K1904" s="103"/>
    </row>
    <row r="1905" spans="1:11" ht="25.5">
      <c r="A1905" s="108" t="s">
        <v>734</v>
      </c>
      <c r="B1905" s="16" t="s">
        <v>692</v>
      </c>
      <c r="C1905" s="13"/>
      <c r="D1905" s="15"/>
      <c r="E1905" s="39"/>
      <c r="F1905" s="242"/>
      <c r="G1905" s="186"/>
      <c r="H1905" s="138"/>
      <c r="I1905" s="103"/>
      <c r="J1905" s="103"/>
      <c r="K1905" s="103"/>
    </row>
    <row r="1906" spans="1:11">
      <c r="A1906" s="99"/>
      <c r="B1906" s="22" t="s">
        <v>360</v>
      </c>
      <c r="C1906" s="13"/>
      <c r="D1906" s="15"/>
      <c r="E1906" s="14"/>
      <c r="F1906" s="242"/>
      <c r="G1906" s="186"/>
      <c r="H1906" s="138"/>
      <c r="I1906" s="103"/>
      <c r="J1906" s="103"/>
      <c r="K1906" s="103"/>
    </row>
    <row r="1907" spans="1:11">
      <c r="A1907" s="99"/>
      <c r="B1907" s="23" t="s">
        <v>1015</v>
      </c>
      <c r="C1907" s="13"/>
      <c r="D1907" s="15">
        <f>1.38*3.12*2+1.05*2.85</f>
        <v>11.6037</v>
      </c>
      <c r="E1907" s="14"/>
      <c r="F1907" s="242"/>
      <c r="G1907" s="186"/>
      <c r="H1907" s="138"/>
      <c r="I1907" s="103"/>
      <c r="J1907" s="103"/>
      <c r="K1907" s="103"/>
    </row>
    <row r="1908" spans="1:11">
      <c r="A1908" s="99"/>
      <c r="B1908" s="22"/>
      <c r="C1908" s="13"/>
      <c r="D1908" s="15"/>
      <c r="E1908" s="14"/>
      <c r="F1908" s="242"/>
      <c r="G1908" s="186"/>
      <c r="H1908" s="138"/>
      <c r="I1908" s="103"/>
      <c r="J1908" s="103"/>
      <c r="K1908" s="103"/>
    </row>
    <row r="1909" spans="1:11">
      <c r="A1909" s="99"/>
      <c r="B1909" s="22" t="s">
        <v>361</v>
      </c>
      <c r="C1909" s="13"/>
      <c r="D1909" s="15"/>
      <c r="E1909" s="14"/>
      <c r="F1909" s="242"/>
      <c r="G1909" s="186"/>
      <c r="H1909" s="138"/>
      <c r="I1909" s="103"/>
      <c r="J1909" s="103"/>
      <c r="K1909" s="103"/>
    </row>
    <row r="1910" spans="1:11">
      <c r="A1910" s="99"/>
      <c r="B1910" s="23" t="s">
        <v>1016</v>
      </c>
      <c r="C1910" s="13"/>
      <c r="D1910" s="15">
        <f>1.38*3.12*2*3+1.05*2.85*3</f>
        <v>34.811100000000003</v>
      </c>
      <c r="E1910" s="14"/>
      <c r="F1910" s="242"/>
      <c r="G1910" s="186"/>
      <c r="H1910" s="138"/>
      <c r="I1910" s="103"/>
      <c r="J1910" s="103"/>
      <c r="K1910" s="103"/>
    </row>
    <row r="1911" spans="1:11">
      <c r="A1911" s="99"/>
      <c r="B1911" s="21"/>
      <c r="C1911" s="13"/>
      <c r="D1911" s="15"/>
      <c r="E1911" s="14"/>
      <c r="F1911" s="242"/>
      <c r="G1911" s="186"/>
      <c r="H1911" s="138"/>
      <c r="I1911" s="103"/>
      <c r="J1911" s="103"/>
      <c r="K1911" s="103"/>
    </row>
    <row r="1912" spans="1:11">
      <c r="A1912" s="99"/>
      <c r="B1912" s="100" t="s">
        <v>662</v>
      </c>
      <c r="C1912" s="13" t="s">
        <v>38</v>
      </c>
      <c r="D1912" s="21">
        <f>SUM(D1907:D1910)</f>
        <v>46.4148</v>
      </c>
      <c r="E1912" s="39"/>
      <c r="F1912" s="30">
        <f>E1912*D1912</f>
        <v>0</v>
      </c>
      <c r="G1912" s="193"/>
      <c r="H1912" s="138"/>
      <c r="I1912" s="103"/>
      <c r="J1912" s="103"/>
      <c r="K1912" s="103"/>
    </row>
    <row r="1913" spans="1:11" ht="13.5" thickBot="1">
      <c r="A1913" s="32"/>
      <c r="B1913" s="10"/>
      <c r="C1913" s="81"/>
      <c r="D1913" s="26"/>
      <c r="E1913" s="120"/>
      <c r="F1913" s="30"/>
      <c r="G1913" s="186"/>
      <c r="H1913" s="138"/>
      <c r="I1913" s="103"/>
      <c r="J1913" s="103"/>
      <c r="K1913" s="103"/>
    </row>
    <row r="1914" spans="1:11" ht="15.75" customHeight="1" thickBot="1">
      <c r="A1914" s="57" t="str">
        <f>A1874</f>
        <v>14.</v>
      </c>
      <c r="B1914" s="58" t="s">
        <v>46</v>
      </c>
      <c r="C1914" s="59"/>
      <c r="D1914" s="60"/>
      <c r="E1914" s="61"/>
      <c r="F1914" s="52">
        <f>SUM(F1876:F1913)</f>
        <v>0</v>
      </c>
      <c r="G1914" s="396"/>
      <c r="H1914" s="313"/>
      <c r="I1914" s="103"/>
      <c r="J1914" s="103"/>
      <c r="K1914" s="103"/>
    </row>
    <row r="1915" spans="1:11" ht="15.75" customHeight="1" thickBot="1">
      <c r="A1915" s="62" t="s">
        <v>78</v>
      </c>
      <c r="B1915" s="72" t="s">
        <v>20</v>
      </c>
      <c r="C1915" s="73"/>
      <c r="D1915" s="74"/>
      <c r="E1915" s="74"/>
      <c r="F1915" s="75"/>
      <c r="G1915" s="186"/>
      <c r="H1915" s="313"/>
      <c r="I1915" s="103"/>
      <c r="J1915" s="103"/>
      <c r="K1915" s="103"/>
    </row>
    <row r="1916" spans="1:11">
      <c r="A1916" s="32"/>
      <c r="B1916" s="22"/>
      <c r="C1916" s="22"/>
      <c r="D1916" s="22"/>
      <c r="E1916" s="84"/>
      <c r="F1916" s="63"/>
      <c r="G1916" s="186"/>
      <c r="I1916" s="103"/>
      <c r="J1916" s="103"/>
      <c r="K1916" s="103"/>
    </row>
    <row r="1917" spans="1:11" ht="38.25">
      <c r="A1917" s="76" t="s">
        <v>79</v>
      </c>
      <c r="B1917" s="16" t="s">
        <v>693</v>
      </c>
      <c r="C1917" s="22"/>
      <c r="D1917" s="22"/>
      <c r="E1917" s="22"/>
      <c r="F1917" s="63"/>
      <c r="G1917" s="186"/>
      <c r="I1917" s="103"/>
      <c r="J1917" s="103"/>
      <c r="K1917" s="103"/>
    </row>
    <row r="1918" spans="1:11" ht="63.75">
      <c r="A1918" s="32"/>
      <c r="B1918" s="16" t="s">
        <v>694</v>
      </c>
      <c r="C1918" s="22"/>
      <c r="D1918" s="22"/>
      <c r="E1918" s="22"/>
      <c r="F1918" s="63"/>
      <c r="G1918" s="186"/>
      <c r="I1918" s="103"/>
      <c r="J1918" s="103"/>
      <c r="K1918" s="103"/>
    </row>
    <row r="1919" spans="1:11" ht="25.5">
      <c r="A1919" s="243"/>
      <c r="B1919" s="321" t="s">
        <v>695</v>
      </c>
      <c r="C1919" s="246"/>
      <c r="D1919" s="246"/>
      <c r="E1919" s="246"/>
      <c r="F1919" s="244"/>
      <c r="G1919" s="186"/>
      <c r="I1919" s="103"/>
      <c r="J1919" s="103"/>
      <c r="K1919" s="103"/>
    </row>
    <row r="1920" spans="1:11" ht="25.5">
      <c r="A1920" s="243"/>
      <c r="B1920" s="321" t="s">
        <v>696</v>
      </c>
      <c r="C1920" s="246"/>
      <c r="D1920" s="246"/>
      <c r="E1920" s="246"/>
      <c r="F1920" s="244"/>
      <c r="G1920" s="186"/>
      <c r="I1920" s="103"/>
      <c r="J1920" s="103"/>
      <c r="K1920" s="103"/>
    </row>
    <row r="1921" spans="1:11" ht="25.5">
      <c r="A1921" s="243"/>
      <c r="B1921" s="321" t="s">
        <v>697</v>
      </c>
      <c r="C1921" s="246"/>
      <c r="D1921" s="246"/>
      <c r="E1921" s="246"/>
      <c r="F1921" s="244"/>
      <c r="G1921" s="186"/>
      <c r="I1921" s="103"/>
      <c r="J1921" s="103"/>
      <c r="K1921" s="103"/>
    </row>
    <row r="1922" spans="1:11">
      <c r="A1922" s="243"/>
      <c r="B1922" s="257" t="s">
        <v>41</v>
      </c>
      <c r="C1922" s="246"/>
      <c r="D1922" s="246"/>
      <c r="E1922" s="246"/>
      <c r="F1922" s="244"/>
      <c r="G1922" s="186"/>
      <c r="I1922" s="103"/>
      <c r="J1922" s="103"/>
      <c r="K1922" s="103"/>
    </row>
    <row r="1923" spans="1:11">
      <c r="A1923" s="243"/>
      <c r="B1923" s="246"/>
      <c r="C1923" s="246"/>
      <c r="D1923" s="246"/>
      <c r="E1923" s="246"/>
      <c r="F1923" s="244"/>
      <c r="G1923" s="186"/>
      <c r="I1923" s="103"/>
      <c r="J1923" s="103"/>
      <c r="K1923" s="103"/>
    </row>
    <row r="1924" spans="1:11" ht="25.5">
      <c r="A1924" s="243"/>
      <c r="B1924" s="255" t="s">
        <v>1025</v>
      </c>
      <c r="C1924" s="250" t="s">
        <v>38</v>
      </c>
      <c r="D1924" s="322">
        <f>15.9*(16.8+12.77+9.7+11.8+17.95)+17.95*(8.6+7.6+1.3)</f>
        <v>1411.5429999999999</v>
      </c>
      <c r="E1924" s="321"/>
      <c r="F1924" s="245">
        <f>D1924*E1924</f>
        <v>0</v>
      </c>
      <c r="G1924" s="193"/>
      <c r="H1924" s="8"/>
      <c r="I1924" s="103"/>
      <c r="J1924" s="103"/>
      <c r="K1924" s="103"/>
    </row>
    <row r="1925" spans="1:11">
      <c r="A1925" s="243"/>
      <c r="B1925" s="246"/>
      <c r="C1925" s="246"/>
      <c r="D1925" s="246"/>
      <c r="E1925" s="246"/>
      <c r="F1925" s="244"/>
      <c r="G1925" s="186"/>
      <c r="I1925" s="103"/>
      <c r="J1925" s="103"/>
      <c r="K1925" s="103"/>
    </row>
    <row r="1926" spans="1:11" ht="51">
      <c r="A1926" s="247" t="s">
        <v>80</v>
      </c>
      <c r="B1926" s="27" t="s">
        <v>698</v>
      </c>
      <c r="C1926" s="22"/>
      <c r="D1926" s="22"/>
      <c r="E1926" s="19"/>
      <c r="F1926" s="244"/>
      <c r="G1926" s="186"/>
      <c r="I1926" s="103"/>
      <c r="J1926" s="103"/>
      <c r="K1926" s="103"/>
    </row>
    <row r="1927" spans="1:11" ht="51">
      <c r="A1927" s="243"/>
      <c r="B1927" s="27" t="s">
        <v>414</v>
      </c>
      <c r="C1927" s="22"/>
      <c r="D1927" s="22"/>
      <c r="E1927" s="248"/>
      <c r="F1927" s="244"/>
      <c r="G1927" s="186"/>
      <c r="I1927" s="103"/>
      <c r="J1927" s="103"/>
      <c r="K1927" s="103"/>
    </row>
    <row r="1928" spans="1:11" ht="51">
      <c r="A1928" s="243"/>
      <c r="B1928" s="27" t="s">
        <v>415</v>
      </c>
      <c r="C1928" s="22"/>
      <c r="D1928" s="22"/>
      <c r="E1928" s="249"/>
      <c r="F1928" s="244"/>
      <c r="G1928" s="186"/>
      <c r="I1928" s="103"/>
      <c r="J1928" s="103"/>
      <c r="K1928" s="103"/>
    </row>
    <row r="1929" spans="1:11" ht="38.25">
      <c r="A1929" s="243"/>
      <c r="B1929" s="17" t="s">
        <v>416</v>
      </c>
      <c r="C1929" s="22"/>
      <c r="D1929" s="22"/>
      <c r="E1929" s="19"/>
      <c r="F1929" s="244"/>
      <c r="G1929" s="186"/>
      <c r="I1929" s="103"/>
      <c r="J1929" s="103"/>
      <c r="K1929" s="103"/>
    </row>
    <row r="1930" spans="1:11">
      <c r="A1930" s="243"/>
      <c r="B1930" s="246"/>
      <c r="C1930" s="246"/>
      <c r="D1930" s="246"/>
      <c r="E1930" s="246"/>
      <c r="F1930" s="244"/>
      <c r="G1930" s="186"/>
      <c r="I1930" s="103"/>
      <c r="J1930" s="103"/>
      <c r="K1930" s="103"/>
    </row>
    <row r="1931" spans="1:11">
      <c r="A1931" s="243"/>
      <c r="B1931" s="22" t="s">
        <v>27</v>
      </c>
      <c r="C1931" s="13"/>
      <c r="D1931" s="21"/>
      <c r="E1931" s="19"/>
      <c r="F1931" s="63"/>
      <c r="G1931" s="186"/>
      <c r="I1931" s="103"/>
      <c r="J1931" s="103"/>
      <c r="K1931" s="103"/>
    </row>
    <row r="1932" spans="1:11" ht="25.5">
      <c r="A1932" s="243"/>
      <c r="B1932" s="23" t="s">
        <v>1033</v>
      </c>
      <c r="C1932" s="13"/>
      <c r="D1932" s="21">
        <f>4.68+3.78*4+4.45+3.37+0.25*(1.3*2+2.7)*4</f>
        <v>32.92</v>
      </c>
      <c r="E1932" s="19"/>
      <c r="F1932" s="63"/>
      <c r="G1932" s="186"/>
      <c r="I1932" s="103"/>
      <c r="J1932" s="103"/>
      <c r="K1932" s="103"/>
    </row>
    <row r="1933" spans="1:11">
      <c r="A1933" s="243"/>
      <c r="B1933" s="22"/>
      <c r="C1933" s="13"/>
      <c r="D1933" s="21"/>
      <c r="E1933" s="19"/>
      <c r="F1933" s="63"/>
      <c r="G1933" s="186"/>
      <c r="I1933" s="103"/>
      <c r="J1933" s="103"/>
      <c r="K1933" s="103"/>
    </row>
    <row r="1934" spans="1:11">
      <c r="A1934" s="243"/>
      <c r="B1934" s="22" t="s">
        <v>360</v>
      </c>
      <c r="C1934" s="13"/>
      <c r="D1934" s="21"/>
      <c r="E1934" s="19"/>
      <c r="F1934" s="63"/>
      <c r="G1934" s="186"/>
      <c r="I1934" s="103"/>
      <c r="J1934" s="103"/>
      <c r="K1934" s="103"/>
    </row>
    <row r="1935" spans="1:11" ht="25.5">
      <c r="A1935" s="243"/>
      <c r="B1935" s="23" t="s">
        <v>1032</v>
      </c>
      <c r="C1935" s="13"/>
      <c r="D1935" s="21">
        <f>4.68+3.78*5+4.45+3.37+0.25*(1.3*2+2.7)*5</f>
        <v>38.024999999999999</v>
      </c>
      <c r="E1935" s="19"/>
      <c r="F1935" s="63"/>
      <c r="G1935" s="186"/>
      <c r="I1935" s="103"/>
      <c r="J1935" s="103"/>
      <c r="K1935" s="103"/>
    </row>
    <row r="1936" spans="1:11">
      <c r="A1936" s="243"/>
      <c r="B1936" s="22"/>
      <c r="C1936" s="13"/>
      <c r="D1936" s="21"/>
      <c r="E1936" s="19"/>
      <c r="F1936" s="63"/>
      <c r="G1936" s="186"/>
      <c r="I1936" s="103"/>
      <c r="J1936" s="103"/>
      <c r="K1936" s="103"/>
    </row>
    <row r="1937" spans="1:14">
      <c r="A1937" s="243"/>
      <c r="B1937" s="22" t="s">
        <v>361</v>
      </c>
      <c r="C1937" s="13"/>
      <c r="D1937" s="21"/>
      <c r="E1937" s="19"/>
      <c r="F1937" s="63"/>
      <c r="G1937" s="186"/>
      <c r="I1937" s="103"/>
      <c r="J1937" s="103"/>
      <c r="K1937" s="103"/>
    </row>
    <row r="1938" spans="1:14" ht="25.5">
      <c r="A1938" s="243"/>
      <c r="B1938" s="23" t="s">
        <v>1034</v>
      </c>
      <c r="C1938" s="13"/>
      <c r="D1938" s="21">
        <f>(4.68+3.78*5+4.45+3.37)*3+0.25*(1.3*2+2.7)*5*3</f>
        <v>114.07499999999999</v>
      </c>
      <c r="E1938" s="19"/>
      <c r="F1938" s="63"/>
      <c r="G1938" s="186"/>
      <c r="I1938" s="103"/>
      <c r="J1938" s="103"/>
      <c r="K1938" s="103"/>
    </row>
    <row r="1939" spans="1:14">
      <c r="A1939" s="243"/>
      <c r="B1939" s="21"/>
      <c r="C1939" s="13"/>
      <c r="D1939" s="21"/>
      <c r="E1939" s="19"/>
      <c r="F1939" s="63"/>
      <c r="G1939" s="186"/>
      <c r="I1939" s="103"/>
      <c r="J1939" s="103"/>
      <c r="K1939" s="103"/>
    </row>
    <row r="1940" spans="1:14">
      <c r="A1940" s="291"/>
      <c r="B1940" s="196" t="s">
        <v>177</v>
      </c>
      <c r="C1940" s="221" t="s">
        <v>38</v>
      </c>
      <c r="D1940" s="220">
        <f>SUM(D1931:D1938)</f>
        <v>185.01999999999998</v>
      </c>
      <c r="E1940" s="215"/>
      <c r="F1940" s="212">
        <f>E1940*D1940</f>
        <v>0</v>
      </c>
      <c r="G1940" s="193"/>
      <c r="I1940" s="103"/>
      <c r="J1940" s="103"/>
      <c r="K1940" s="103"/>
    </row>
    <row r="1941" spans="1:14">
      <c r="A1941" s="243"/>
      <c r="B1941" s="246"/>
      <c r="C1941" s="246"/>
      <c r="D1941" s="246"/>
      <c r="E1941" s="246"/>
      <c r="F1941" s="244"/>
      <c r="G1941" s="186"/>
      <c r="I1941" s="103"/>
      <c r="J1941" s="103"/>
      <c r="K1941" s="103"/>
    </row>
    <row r="1942" spans="1:14" ht="51">
      <c r="A1942" s="247" t="s">
        <v>152</v>
      </c>
      <c r="B1942" s="22" t="s">
        <v>699</v>
      </c>
      <c r="C1942" s="246"/>
      <c r="D1942" s="246"/>
      <c r="E1942" s="246"/>
      <c r="F1942" s="244"/>
      <c r="G1942" s="186"/>
      <c r="I1942" s="103"/>
      <c r="J1942" s="103"/>
      <c r="K1942" s="103"/>
    </row>
    <row r="1943" spans="1:14" ht="38.25">
      <c r="A1943" s="247"/>
      <c r="B1943" s="22" t="s">
        <v>700</v>
      </c>
      <c r="C1943" s="246"/>
      <c r="D1943" s="246"/>
      <c r="E1943" s="246"/>
      <c r="F1943" s="244"/>
      <c r="G1943" s="186"/>
      <c r="I1943" s="103"/>
      <c r="J1943" s="103"/>
      <c r="K1943" s="103"/>
    </row>
    <row r="1944" spans="1:14" ht="51">
      <c r="A1944" s="247"/>
      <c r="B1944" s="142" t="s">
        <v>170</v>
      </c>
      <c r="C1944" s="246"/>
      <c r="D1944" s="246"/>
      <c r="E1944" s="246"/>
      <c r="F1944" s="244"/>
      <c r="G1944" s="186"/>
      <c r="I1944" s="103"/>
      <c r="J1944" s="103"/>
      <c r="K1944" s="103"/>
    </row>
    <row r="1945" spans="1:14">
      <c r="A1945" s="247"/>
      <c r="B1945" s="12" t="s">
        <v>171</v>
      </c>
      <c r="C1945" s="246"/>
      <c r="D1945" s="246"/>
      <c r="E1945" s="246"/>
      <c r="F1945" s="244"/>
      <c r="G1945" s="186"/>
      <c r="I1945" s="103"/>
      <c r="J1945" s="103"/>
      <c r="K1945" s="103"/>
    </row>
    <row r="1946" spans="1:14">
      <c r="A1946" s="247"/>
      <c r="B1946" s="12"/>
      <c r="C1946" s="246"/>
      <c r="D1946" s="246"/>
      <c r="E1946" s="246"/>
      <c r="F1946" s="244"/>
      <c r="G1946" s="186"/>
      <c r="I1946" s="103"/>
      <c r="J1946" s="103"/>
      <c r="K1946" s="103"/>
    </row>
    <row r="1947" spans="1:14">
      <c r="A1947" s="243"/>
      <c r="B1947" s="246" t="s">
        <v>663</v>
      </c>
      <c r="C1947" s="250"/>
      <c r="D1947" s="251"/>
      <c r="E1947" s="246"/>
      <c r="F1947" s="244"/>
      <c r="G1947" s="186"/>
      <c r="I1947" s="103"/>
      <c r="J1947" s="103"/>
      <c r="K1947" s="103"/>
    </row>
    <row r="1948" spans="1:14" ht="25.5">
      <c r="A1948" s="243"/>
      <c r="B1948" s="23" t="s">
        <v>1036</v>
      </c>
      <c r="C1948" s="250"/>
      <c r="D1948" s="252">
        <f>0.55*(1.3*2+2.7)*4+0.55*(1.3*2+2.7)*5*4</f>
        <v>69.960000000000008</v>
      </c>
      <c r="E1948" s="253"/>
      <c r="F1948" s="245">
        <f>D1948*E1948</f>
        <v>0</v>
      </c>
      <c r="G1948" s="186"/>
      <c r="H1948" s="132"/>
      <c r="I1948" s="103"/>
      <c r="J1948" s="103"/>
      <c r="K1948" s="103"/>
    </row>
    <row r="1949" spans="1:14" s="103" customFormat="1">
      <c r="A1949" s="243"/>
      <c r="B1949" s="254"/>
      <c r="C1949" s="250"/>
      <c r="D1949" s="254"/>
      <c r="E1949" s="246"/>
      <c r="F1949" s="244"/>
      <c r="G1949" s="186"/>
      <c r="L1949" s="6"/>
      <c r="M1949" s="6"/>
      <c r="N1949" s="6"/>
    </row>
    <row r="1950" spans="1:14" ht="25.5">
      <c r="A1950" s="243"/>
      <c r="B1950" s="256" t="s">
        <v>701</v>
      </c>
      <c r="C1950" s="246"/>
      <c r="D1950" s="251"/>
      <c r="E1950" s="246"/>
      <c r="F1950" s="244"/>
      <c r="G1950" s="186"/>
      <c r="I1950" s="103"/>
      <c r="J1950" s="103"/>
      <c r="K1950" s="103"/>
    </row>
    <row r="1951" spans="1:14">
      <c r="A1951" s="243"/>
      <c r="B1951" s="255" t="s">
        <v>1035</v>
      </c>
      <c r="C1951" s="246"/>
      <c r="D1951" s="251">
        <f>1*10.89+0.85*10.89</f>
        <v>20.146500000000003</v>
      </c>
      <c r="E1951" s="246"/>
      <c r="F1951" s="244"/>
      <c r="G1951" s="186"/>
      <c r="I1951" s="103"/>
      <c r="J1951" s="103"/>
      <c r="K1951" s="103"/>
    </row>
    <row r="1952" spans="1:14">
      <c r="A1952" s="243"/>
      <c r="B1952" s="255"/>
      <c r="C1952" s="246"/>
      <c r="D1952" s="251"/>
      <c r="E1952" s="246"/>
      <c r="F1952" s="244"/>
      <c r="G1952" s="186"/>
      <c r="I1952" s="103"/>
      <c r="J1952" s="103"/>
      <c r="K1952" s="103"/>
    </row>
    <row r="1953" spans="1:14" ht="25.5">
      <c r="A1953" s="243"/>
      <c r="B1953" s="256" t="s">
        <v>704</v>
      </c>
      <c r="C1953" s="246"/>
      <c r="D1953" s="251"/>
      <c r="E1953" s="246"/>
      <c r="F1953" s="244"/>
      <c r="G1953" s="186"/>
      <c r="I1953" s="103"/>
      <c r="J1953" s="103"/>
      <c r="K1953" s="103"/>
    </row>
    <row r="1954" spans="1:14" ht="51">
      <c r="A1954" s="243"/>
      <c r="B1954" s="23" t="s">
        <v>843</v>
      </c>
      <c r="C1954" s="81" t="s">
        <v>103</v>
      </c>
      <c r="D1954" s="78">
        <f>2.58*(0.84*4+0.53*4+0.87*4+0.53*4+0.7*2+1.54*2+0.84*2+1.07*2+0.82*2+1.68*2+0.53*2+0.97*2+0.67*4+0.53*2+0.77*2+0.84*2+1.31*2)</f>
        <v>95.356800000000007</v>
      </c>
      <c r="E1954" s="257"/>
      <c r="F1954" s="245">
        <f>E1954*D1954</f>
        <v>0</v>
      </c>
      <c r="G1954" s="186"/>
      <c r="I1954" s="103"/>
      <c r="J1954" s="103"/>
      <c r="K1954" s="103"/>
    </row>
    <row r="1955" spans="1:14">
      <c r="A1955" s="258"/>
      <c r="B1955" s="257"/>
      <c r="C1955" s="250"/>
      <c r="D1955" s="252"/>
      <c r="E1955" s="246"/>
      <c r="F1955" s="244"/>
      <c r="G1955" s="186"/>
      <c r="I1955" s="103"/>
      <c r="J1955" s="110"/>
      <c r="K1955" s="126"/>
    </row>
    <row r="1956" spans="1:14">
      <c r="A1956" s="243"/>
      <c r="B1956" s="246" t="s">
        <v>735</v>
      </c>
      <c r="C1956" s="259" t="s">
        <v>38</v>
      </c>
      <c r="D1956" s="255">
        <f>SUM(D1948:D1955)</f>
        <v>185.4633</v>
      </c>
      <c r="E1956" s="253"/>
      <c r="F1956" s="245">
        <f>D1956*E1956</f>
        <v>0</v>
      </c>
      <c r="G1956" s="193"/>
      <c r="H1956" s="132"/>
      <c r="I1956" s="9"/>
      <c r="J1956" s="103"/>
      <c r="K1956" s="105"/>
    </row>
    <row r="1957" spans="1:14">
      <c r="A1957" s="247"/>
      <c r="B1957" s="260"/>
      <c r="C1957" s="246"/>
      <c r="D1957" s="246"/>
      <c r="E1957" s="246"/>
      <c r="F1957" s="244"/>
      <c r="G1957" s="186"/>
      <c r="I1957" s="103"/>
      <c r="J1957" s="103"/>
      <c r="K1957" s="103"/>
      <c r="L1957" s="103"/>
      <c r="M1957" s="103"/>
      <c r="N1957" s="103"/>
    </row>
    <row r="1958" spans="1:14" ht="38.25">
      <c r="A1958" s="261" t="s">
        <v>116</v>
      </c>
      <c r="B1958" s="225" t="s">
        <v>702</v>
      </c>
      <c r="C1958" s="262"/>
      <c r="D1958" s="263"/>
      <c r="E1958" s="263"/>
      <c r="F1958" s="264"/>
      <c r="G1958" s="186"/>
      <c r="H1958" s="152"/>
      <c r="I1958" s="103"/>
      <c r="J1958" s="103"/>
      <c r="K1958" s="103"/>
    </row>
    <row r="1959" spans="1:14" ht="25.5">
      <c r="A1959" s="265"/>
      <c r="B1959" s="112" t="s">
        <v>449</v>
      </c>
      <c r="C1959" s="262"/>
      <c r="D1959" s="263"/>
      <c r="E1959" s="263"/>
      <c r="F1959" s="264"/>
      <c r="G1959" s="186"/>
      <c r="H1959" s="152"/>
      <c r="I1959" s="103"/>
      <c r="J1959" s="103"/>
      <c r="K1959" s="103"/>
    </row>
    <row r="1960" spans="1:14" ht="102">
      <c r="A1960" s="265"/>
      <c r="B1960" s="112" t="s">
        <v>450</v>
      </c>
      <c r="C1960" s="262"/>
      <c r="D1960" s="263"/>
      <c r="E1960" s="263"/>
      <c r="F1960" s="264"/>
      <c r="G1960" s="186"/>
      <c r="H1960" s="152"/>
      <c r="I1960" s="103"/>
      <c r="J1960" s="103"/>
      <c r="K1960" s="103"/>
    </row>
    <row r="1961" spans="1:14" ht="51">
      <c r="A1961" s="265"/>
      <c r="B1961" s="103" t="s">
        <v>451</v>
      </c>
      <c r="C1961" s="262"/>
      <c r="D1961" s="263"/>
      <c r="E1961" s="263"/>
      <c r="F1961" s="264"/>
      <c r="G1961" s="186"/>
      <c r="H1961" s="152"/>
      <c r="I1961" s="103"/>
      <c r="J1961" s="103"/>
      <c r="K1961" s="103"/>
    </row>
    <row r="1962" spans="1:14" ht="25.5">
      <c r="A1962" s="265"/>
      <c r="B1962" s="225" t="s">
        <v>117</v>
      </c>
      <c r="C1962" s="262"/>
      <c r="D1962" s="263"/>
      <c r="E1962" s="263"/>
      <c r="F1962" s="264"/>
      <c r="G1962" s="186"/>
      <c r="H1962" s="152"/>
      <c r="I1962" s="103"/>
      <c r="J1962" s="103"/>
      <c r="K1962" s="103"/>
    </row>
    <row r="1963" spans="1:14" ht="12.75" customHeight="1">
      <c r="A1963" s="292"/>
      <c r="B1963" s="293" t="s">
        <v>41</v>
      </c>
      <c r="C1963" s="294"/>
      <c r="D1963" s="295"/>
      <c r="E1963" s="295"/>
      <c r="F1963" s="296"/>
      <c r="G1963" s="186"/>
      <c r="H1963" s="152"/>
      <c r="I1963" s="103"/>
      <c r="J1963" s="103"/>
      <c r="K1963" s="103"/>
    </row>
    <row r="1964" spans="1:14" s="103" customFormat="1">
      <c r="A1964" s="265"/>
      <c r="B1964" s="267"/>
      <c r="C1964" s="262"/>
      <c r="D1964" s="263"/>
      <c r="E1964" s="263"/>
      <c r="F1964" s="264"/>
      <c r="G1964" s="186"/>
      <c r="H1964" s="152"/>
    </row>
    <row r="1965" spans="1:14">
      <c r="A1965" s="243"/>
      <c r="B1965" s="246" t="s">
        <v>663</v>
      </c>
      <c r="C1965" s="250"/>
      <c r="D1965" s="251"/>
      <c r="E1965" s="246"/>
      <c r="F1965" s="244"/>
      <c r="G1965" s="186"/>
      <c r="I1965" s="103"/>
      <c r="J1965" s="103"/>
      <c r="K1965" s="103"/>
    </row>
    <row r="1966" spans="1:14" ht="25.5">
      <c r="A1966" s="243"/>
      <c r="B1966" s="23" t="s">
        <v>1036</v>
      </c>
      <c r="C1966" s="250"/>
      <c r="D1966" s="252">
        <f>0.55*(1.3*2+2.7)*4+0.55*(1.3*2+2.7)*5*4</f>
        <v>69.960000000000008</v>
      </c>
      <c r="E1966" s="246"/>
      <c r="F1966" s="159"/>
      <c r="G1966" s="186"/>
      <c r="H1966" s="158"/>
      <c r="I1966" s="103"/>
      <c r="J1966" s="105"/>
      <c r="K1966" s="103"/>
    </row>
    <row r="1967" spans="1:14">
      <c r="A1967" s="243"/>
      <c r="B1967" s="254"/>
      <c r="C1967" s="250"/>
      <c r="D1967" s="254"/>
      <c r="E1967" s="246"/>
      <c r="F1967" s="159"/>
      <c r="G1967" s="186"/>
      <c r="H1967" s="8"/>
      <c r="I1967" s="125"/>
      <c r="J1967" s="127"/>
      <c r="K1967" s="103"/>
      <c r="L1967" s="103"/>
      <c r="M1967" s="103"/>
      <c r="N1967" s="103"/>
    </row>
    <row r="1968" spans="1:14" ht="25.5">
      <c r="A1968" s="243"/>
      <c r="B1968" s="256" t="s">
        <v>701</v>
      </c>
      <c r="C1968" s="246"/>
      <c r="D1968" s="251"/>
      <c r="E1968" s="246"/>
      <c r="F1968" s="159"/>
      <c r="G1968" s="186"/>
      <c r="H1968" s="9"/>
      <c r="I1968" s="103"/>
      <c r="J1968" s="103"/>
      <c r="K1968" s="103"/>
    </row>
    <row r="1969" spans="1:11">
      <c r="A1969" s="243"/>
      <c r="B1969" s="255" t="s">
        <v>1035</v>
      </c>
      <c r="C1969" s="246"/>
      <c r="D1969" s="251">
        <f>1*10.89+0.85*10.89</f>
        <v>20.146500000000003</v>
      </c>
      <c r="E1969" s="246"/>
      <c r="F1969" s="159"/>
      <c r="G1969" s="186"/>
      <c r="H1969" s="89"/>
      <c r="I1969" s="103"/>
      <c r="J1969" s="324"/>
      <c r="K1969" s="103"/>
    </row>
    <row r="1970" spans="1:11">
      <c r="A1970" s="243"/>
      <c r="B1970" s="254"/>
      <c r="C1970" s="250"/>
      <c r="D1970" s="254"/>
      <c r="E1970" s="257"/>
      <c r="F1970" s="268"/>
      <c r="G1970" s="186"/>
      <c r="H1970" s="9"/>
      <c r="I1970" s="103"/>
      <c r="J1970" s="103"/>
      <c r="K1970" s="103"/>
    </row>
    <row r="1971" spans="1:11">
      <c r="A1971" s="243"/>
      <c r="B1971" s="256" t="s">
        <v>703</v>
      </c>
      <c r="C1971" s="250"/>
      <c r="D1971" s="322"/>
      <c r="E1971" s="257"/>
      <c r="F1971" s="268"/>
      <c r="G1971" s="186"/>
      <c r="H1971" s="9"/>
      <c r="I1971" s="103"/>
      <c r="J1971" s="103"/>
      <c r="K1971" s="103"/>
    </row>
    <row r="1972" spans="1:11" ht="51">
      <c r="A1972" s="243"/>
      <c r="B1972" s="23" t="s">
        <v>1037</v>
      </c>
      <c r="C1972" s="259"/>
      <c r="D1972" s="379">
        <f>1.1*(0.84*4+0.53*4+0.87*4+0.53*4+0.7*2+1.54*2+0.84*2+1.07*2+0.82*2+1.68*2+0.53*2+0.97*2+0.67*4+0.53*2+0.77*2+0.84*2+1.31*2)</f>
        <v>40.656000000000006</v>
      </c>
      <c r="E1972" s="257"/>
      <c r="F1972" s="268">
        <f>+D1972*E1972</f>
        <v>0</v>
      </c>
      <c r="G1972" s="186"/>
      <c r="H1972" s="9"/>
      <c r="I1972" s="103"/>
      <c r="J1972" s="103"/>
      <c r="K1972" s="103"/>
    </row>
    <row r="1973" spans="1:11">
      <c r="A1973" s="243"/>
      <c r="B1973" s="246"/>
      <c r="C1973" s="259"/>
      <c r="D1973" s="255"/>
      <c r="E1973" s="257"/>
      <c r="F1973" s="268"/>
      <c r="G1973" s="186"/>
      <c r="H1973" s="9"/>
      <c r="I1973" s="103"/>
      <c r="J1973" s="103"/>
      <c r="K1973" s="103"/>
    </row>
    <row r="1974" spans="1:11">
      <c r="A1974" s="243"/>
      <c r="B1974" s="246" t="s">
        <v>279</v>
      </c>
      <c r="C1974" s="259" t="s">
        <v>38</v>
      </c>
      <c r="D1974" s="255">
        <f>SUM(D1965:D1972)</f>
        <v>130.76250000000002</v>
      </c>
      <c r="E1974" s="263"/>
      <c r="F1974" s="268">
        <f>D1974*E1974</f>
        <v>0</v>
      </c>
      <c r="G1974" s="193"/>
      <c r="H1974" s="152"/>
      <c r="I1974" s="103"/>
      <c r="J1974" s="103"/>
      <c r="K1974" s="103"/>
    </row>
    <row r="1975" spans="1:11">
      <c r="A1975" s="32"/>
      <c r="B1975" s="22"/>
      <c r="C1975" s="13"/>
      <c r="D1975" s="23"/>
      <c r="E1975" s="152"/>
      <c r="F1975" s="30"/>
      <c r="G1975" s="186"/>
      <c r="H1975" s="152"/>
      <c r="I1975" s="103"/>
      <c r="J1975" s="103"/>
      <c r="K1975" s="103"/>
    </row>
    <row r="1976" spans="1:11" ht="51">
      <c r="A1976" s="76" t="s">
        <v>299</v>
      </c>
      <c r="B1976" s="80" t="s">
        <v>1090</v>
      </c>
      <c r="C1976" s="41"/>
      <c r="D1976" s="136"/>
      <c r="E1976" s="10"/>
      <c r="F1976" s="130"/>
      <c r="G1976" s="412"/>
      <c r="H1976" s="9"/>
      <c r="I1976" s="103"/>
      <c r="J1976" s="103"/>
      <c r="K1976" s="103"/>
    </row>
    <row r="1977" spans="1:11" ht="25.5">
      <c r="A1977" s="32"/>
      <c r="B1977" s="112" t="s">
        <v>705</v>
      </c>
      <c r="C1977" s="41"/>
      <c r="D1977" s="136"/>
      <c r="E1977" s="10"/>
      <c r="F1977" s="130"/>
      <c r="G1977" s="412"/>
      <c r="H1977" s="9"/>
      <c r="I1977" s="103"/>
      <c r="J1977" s="103"/>
      <c r="K1977" s="103"/>
    </row>
    <row r="1978" spans="1:11" ht="51">
      <c r="A1978" s="32"/>
      <c r="B1978" s="112" t="s">
        <v>706</v>
      </c>
      <c r="C1978" s="41"/>
      <c r="D1978" s="136"/>
      <c r="E1978" s="10"/>
      <c r="F1978" s="130"/>
      <c r="G1978" s="412"/>
      <c r="H1978" s="9"/>
      <c r="I1978" s="103"/>
      <c r="J1978" s="103"/>
      <c r="K1978" s="103"/>
    </row>
    <row r="1979" spans="1:11" ht="51">
      <c r="A1979" s="32"/>
      <c r="B1979" s="269" t="s">
        <v>461</v>
      </c>
      <c r="C1979" s="41"/>
      <c r="D1979" s="136"/>
      <c r="E1979" s="10"/>
      <c r="F1979" s="130"/>
      <c r="G1979" s="412"/>
      <c r="H1979" s="9"/>
      <c r="I1979" s="103"/>
      <c r="J1979" s="103"/>
      <c r="K1979" s="103"/>
    </row>
    <row r="1980" spans="1:11" ht="38.25">
      <c r="A1980" s="32"/>
      <c r="B1980" s="80" t="s">
        <v>298</v>
      </c>
      <c r="C1980" s="41"/>
      <c r="D1980" s="136"/>
      <c r="E1980" s="10"/>
      <c r="F1980" s="130"/>
      <c r="G1980" s="412"/>
      <c r="H1980" s="9"/>
      <c r="I1980" s="103"/>
      <c r="J1980" s="103"/>
      <c r="K1980" s="103"/>
    </row>
    <row r="1981" spans="1:11">
      <c r="A1981" s="32"/>
      <c r="B1981" s="82" t="s">
        <v>41</v>
      </c>
      <c r="C1981" s="41"/>
      <c r="D1981" s="136"/>
      <c r="E1981" s="10"/>
      <c r="F1981" s="130"/>
      <c r="G1981" s="412"/>
      <c r="H1981" s="9"/>
      <c r="I1981" s="103"/>
      <c r="J1981" s="103"/>
      <c r="K1981" s="103"/>
    </row>
    <row r="1982" spans="1:11">
      <c r="A1982" s="32"/>
      <c r="B1982" s="82"/>
      <c r="C1982" s="41"/>
      <c r="D1982" s="136"/>
      <c r="E1982" s="10"/>
      <c r="F1982" s="130"/>
      <c r="G1982" s="412"/>
      <c r="H1982" s="9"/>
      <c r="I1982" s="103"/>
      <c r="J1982" s="103"/>
      <c r="K1982" s="103"/>
    </row>
    <row r="1983" spans="1:11">
      <c r="A1983" s="32"/>
      <c r="B1983" s="82" t="s">
        <v>1092</v>
      </c>
      <c r="C1983" s="41"/>
      <c r="D1983" s="136"/>
      <c r="E1983" s="10"/>
      <c r="F1983" s="130"/>
      <c r="G1983" s="412"/>
      <c r="H1983" s="9"/>
      <c r="I1983" s="103"/>
      <c r="J1983" s="103"/>
      <c r="K1983" s="103"/>
    </row>
    <row r="1984" spans="1:11" ht="25.5">
      <c r="A1984" s="32"/>
      <c r="B1984" s="21" t="s">
        <v>1047</v>
      </c>
      <c r="C1984" s="13" t="s">
        <v>38</v>
      </c>
      <c r="D1984" s="21">
        <f>0.3*(24.82+1.3+14.78+6.38+13.54+9.2+0.6+11.87)</f>
        <v>24.746999999999996</v>
      </c>
      <c r="E1984" s="263"/>
      <c r="F1984" s="130">
        <f>+D1984*E1984</f>
        <v>0</v>
      </c>
      <c r="G1984" s="193"/>
      <c r="H1984" s="9"/>
      <c r="I1984" s="103"/>
      <c r="J1984" s="103"/>
      <c r="K1984" s="103"/>
    </row>
    <row r="1985" spans="1:11">
      <c r="A1985" s="32"/>
      <c r="B1985" s="21"/>
      <c r="C1985" s="13"/>
      <c r="D1985" s="21"/>
      <c r="E1985" s="152"/>
      <c r="F1985" s="130"/>
      <c r="G1985" s="193"/>
      <c r="H1985" s="9"/>
      <c r="I1985" s="103"/>
      <c r="J1985" s="103"/>
      <c r="K1985" s="103"/>
    </row>
    <row r="1986" spans="1:11">
      <c r="A1986" s="32"/>
      <c r="B1986" s="82" t="s">
        <v>1091</v>
      </c>
      <c r="C1986" s="41"/>
      <c r="D1986" s="136"/>
      <c r="E1986" s="10"/>
      <c r="F1986" s="130"/>
      <c r="G1986" s="412"/>
      <c r="H1986" s="9"/>
      <c r="I1986" s="103"/>
      <c r="J1986" s="103"/>
      <c r="K1986" s="103"/>
    </row>
    <row r="1987" spans="1:11">
      <c r="A1987" s="32"/>
      <c r="B1987" s="21" t="s">
        <v>1093</v>
      </c>
      <c r="C1987" s="13" t="s">
        <v>38</v>
      </c>
      <c r="D1987" s="21">
        <f>0.3*(24.82+1.3+14.78+6.38+13.54+9.2+0.6+11.87)</f>
        <v>24.746999999999996</v>
      </c>
      <c r="E1987" s="263"/>
      <c r="F1987" s="130">
        <f>+D1987*E1987</f>
        <v>0</v>
      </c>
      <c r="G1987" s="193"/>
      <c r="H1987" s="9"/>
      <c r="I1987" s="103"/>
      <c r="J1987" s="103"/>
      <c r="K1987" s="103"/>
    </row>
    <row r="1988" spans="1:11" ht="13.5" thickBot="1">
      <c r="A1988" s="90"/>
      <c r="B1988" s="131"/>
      <c r="C1988" s="117"/>
      <c r="D1988" s="121"/>
      <c r="E1988" s="118"/>
      <c r="F1988" s="270"/>
      <c r="G1988" s="186"/>
      <c r="H1988" s="9"/>
      <c r="I1988" s="103"/>
      <c r="J1988" s="103"/>
      <c r="K1988" s="103"/>
    </row>
    <row r="1989" spans="1:11" ht="15.75" thickBot="1">
      <c r="A1989" s="57" t="str">
        <f>A1915</f>
        <v>15.</v>
      </c>
      <c r="B1989" s="58" t="s">
        <v>0</v>
      </c>
      <c r="C1989" s="59"/>
      <c r="D1989" s="60"/>
      <c r="E1989" s="61"/>
      <c r="F1989" s="52">
        <f>SUM(F1917:F1988)</f>
        <v>0</v>
      </c>
      <c r="G1989" s="396"/>
      <c r="H1989" s="313"/>
      <c r="I1989" s="103"/>
      <c r="J1989" s="103"/>
      <c r="K1989" s="103"/>
    </row>
    <row r="1990" spans="1:11" ht="15.75" thickBot="1">
      <c r="A1990" s="62" t="s">
        <v>87</v>
      </c>
      <c r="B1990" s="72" t="s">
        <v>21</v>
      </c>
      <c r="C1990" s="73"/>
      <c r="D1990" s="74"/>
      <c r="E1990" s="74"/>
      <c r="F1990" s="75"/>
      <c r="G1990" s="186"/>
      <c r="H1990" s="313"/>
      <c r="I1990" s="103"/>
      <c r="J1990" s="103"/>
      <c r="K1990" s="103"/>
    </row>
    <row r="1991" spans="1:11">
      <c r="A1991" s="32"/>
      <c r="B1991" s="22"/>
      <c r="C1991" s="22"/>
      <c r="D1991" s="22"/>
      <c r="E1991" s="84"/>
      <c r="F1991" s="63"/>
      <c r="G1991" s="186"/>
      <c r="I1991" s="103"/>
      <c r="J1991" s="103"/>
      <c r="K1991" s="103"/>
    </row>
    <row r="1992" spans="1:11" ht="63.75">
      <c r="A1992" s="76" t="s">
        <v>88</v>
      </c>
      <c r="B1992" s="27" t="s">
        <v>711</v>
      </c>
      <c r="C1992" s="41"/>
      <c r="D1992" s="14"/>
      <c r="E1992" s="14"/>
      <c r="F1992" s="31"/>
      <c r="G1992" s="413"/>
      <c r="H1992" s="138"/>
      <c r="I1992" s="103"/>
      <c r="J1992" s="103"/>
      <c r="K1992" s="103"/>
    </row>
    <row r="1993" spans="1:11" ht="63.75">
      <c r="A1993" s="32"/>
      <c r="B1993" s="237" t="s">
        <v>261</v>
      </c>
      <c r="C1993" s="13"/>
      <c r="D1993" s="47"/>
      <c r="E1993" s="48"/>
      <c r="F1993" s="30"/>
      <c r="G1993" s="186"/>
      <c r="H1993" s="380"/>
      <c r="I1993" s="103"/>
      <c r="J1993" s="103"/>
      <c r="K1993" s="103"/>
    </row>
    <row r="1994" spans="1:11">
      <c r="A1994" s="32"/>
      <c r="B1994" s="10" t="s">
        <v>99</v>
      </c>
      <c r="C1994" s="13"/>
      <c r="D1994" s="47"/>
      <c r="E1994" s="48"/>
      <c r="F1994" s="30"/>
      <c r="G1994" s="186"/>
      <c r="H1994" s="380"/>
      <c r="I1994" s="103"/>
      <c r="J1994" s="103"/>
      <c r="K1994" s="103"/>
    </row>
    <row r="1995" spans="1:11">
      <c r="A1995" s="32"/>
      <c r="B1995" s="10"/>
      <c r="C1995" s="13"/>
      <c r="D1995" s="47"/>
      <c r="E1995" s="48"/>
      <c r="F1995" s="30"/>
      <c r="G1995" s="186"/>
      <c r="H1995" s="380"/>
      <c r="I1995" s="103"/>
      <c r="J1995" s="103"/>
      <c r="K1995" s="103"/>
    </row>
    <row r="1996" spans="1:11">
      <c r="A1996" s="32"/>
      <c r="B1996" s="21" t="s">
        <v>664</v>
      </c>
      <c r="C1996" s="13" t="s">
        <v>32</v>
      </c>
      <c r="D1996" s="47">
        <v>34</v>
      </c>
      <c r="E1996" s="10"/>
      <c r="F1996" s="30">
        <f>E1996*D1996</f>
        <v>0</v>
      </c>
      <c r="G1996" s="193"/>
      <c r="H1996" s="9"/>
      <c r="I1996" s="103"/>
      <c r="J1996" s="103"/>
      <c r="K1996" s="103"/>
    </row>
    <row r="1997" spans="1:11">
      <c r="A1997" s="32"/>
      <c r="B1997" s="10"/>
      <c r="C1997" s="13"/>
      <c r="D1997" s="47"/>
      <c r="E1997" s="10"/>
      <c r="F1997" s="30"/>
      <c r="G1997" s="186"/>
      <c r="H1997" s="9"/>
      <c r="I1997" s="381"/>
      <c r="J1997" s="9"/>
      <c r="K1997" s="103"/>
    </row>
    <row r="1998" spans="1:11" ht="38.25">
      <c r="A1998" s="76" t="s">
        <v>90</v>
      </c>
      <c r="B1998" s="237" t="s">
        <v>712</v>
      </c>
      <c r="C1998" s="22"/>
      <c r="D1998" s="22"/>
      <c r="E1998" s="22"/>
      <c r="F1998" s="63"/>
      <c r="G1998" s="186"/>
      <c r="I1998" s="381"/>
      <c r="J1998" s="9"/>
      <c r="K1998" s="103"/>
    </row>
    <row r="1999" spans="1:11">
      <c r="A1999" s="32"/>
      <c r="B1999" s="10" t="s">
        <v>99</v>
      </c>
      <c r="C1999" s="13" t="s">
        <v>32</v>
      </c>
      <c r="D1999" s="47">
        <v>5</v>
      </c>
      <c r="E1999" s="10"/>
      <c r="F1999" s="30">
        <f>E1999*D1999</f>
        <v>0</v>
      </c>
      <c r="G1999" s="193"/>
      <c r="H1999" s="9"/>
      <c r="I1999" s="381"/>
      <c r="J1999" s="9"/>
      <c r="K1999" s="103"/>
    </row>
    <row r="2000" spans="1:11">
      <c r="A2000" s="32"/>
      <c r="B2000" s="22"/>
      <c r="C2000" s="22"/>
      <c r="D2000" s="22"/>
      <c r="E2000" s="22"/>
      <c r="F2000" s="63"/>
      <c r="G2000" s="186"/>
      <c r="I2000" s="110"/>
      <c r="J2000" s="382"/>
      <c r="K2000" s="103"/>
    </row>
    <row r="2001" spans="1:11" ht="51">
      <c r="A2001" s="76" t="s">
        <v>89</v>
      </c>
      <c r="B2001" s="227" t="s">
        <v>713</v>
      </c>
      <c r="C2001" s="22"/>
      <c r="D2001" s="22"/>
      <c r="E2001" s="22"/>
      <c r="F2001" s="63"/>
      <c r="G2001" s="186"/>
      <c r="I2001" s="110"/>
      <c r="J2001" s="383"/>
      <c r="K2001" s="103"/>
    </row>
    <row r="2002" spans="1:11">
      <c r="A2002" s="32"/>
      <c r="B2002" s="10" t="s">
        <v>99</v>
      </c>
      <c r="C2002" s="13" t="s">
        <v>32</v>
      </c>
      <c r="D2002" s="47">
        <v>34</v>
      </c>
      <c r="E2002" s="10"/>
      <c r="F2002" s="30">
        <f>E2002*D2002</f>
        <v>0</v>
      </c>
      <c r="G2002" s="193"/>
      <c r="H2002" s="9"/>
      <c r="I2002" s="110"/>
      <c r="J2002" s="383"/>
      <c r="K2002" s="103"/>
    </row>
    <row r="2003" spans="1:11">
      <c r="A2003" s="32"/>
      <c r="B2003" s="80"/>
      <c r="C2003" s="80"/>
      <c r="D2003" s="80"/>
      <c r="E2003" s="22"/>
      <c r="F2003" s="63"/>
      <c r="G2003" s="186"/>
      <c r="I2003" s="110"/>
      <c r="J2003" s="383"/>
      <c r="K2003" s="103"/>
    </row>
    <row r="2004" spans="1:11" ht="25.5">
      <c r="A2004" s="76" t="s">
        <v>161</v>
      </c>
      <c r="B2004" s="225" t="s">
        <v>775</v>
      </c>
      <c r="C2004" s="80"/>
      <c r="D2004" s="80"/>
      <c r="E2004" s="22"/>
      <c r="F2004" s="63"/>
      <c r="G2004" s="186"/>
      <c r="I2004" s="110"/>
      <c r="J2004" s="382"/>
      <c r="K2004" s="103"/>
    </row>
    <row r="2005" spans="1:11" ht="63.75">
      <c r="A2005" s="76"/>
      <c r="B2005" s="227" t="s">
        <v>715</v>
      </c>
      <c r="C2005" s="80"/>
      <c r="D2005" s="80"/>
      <c r="E2005" s="22"/>
      <c r="F2005" s="63"/>
      <c r="G2005" s="186"/>
      <c r="I2005" s="110"/>
      <c r="J2005" s="382"/>
      <c r="K2005" s="103"/>
    </row>
    <row r="2006" spans="1:11" ht="25.5">
      <c r="A2006" s="76"/>
      <c r="B2006" s="103" t="s">
        <v>716</v>
      </c>
      <c r="C2006" s="80"/>
      <c r="D2006" s="80"/>
      <c r="E2006" s="22"/>
      <c r="F2006" s="63"/>
      <c r="G2006" s="186"/>
      <c r="I2006" s="110"/>
      <c r="J2006" s="382"/>
      <c r="K2006" s="103"/>
    </row>
    <row r="2007" spans="1:11">
      <c r="A2007" s="76"/>
      <c r="B2007" s="103" t="s">
        <v>714</v>
      </c>
      <c r="C2007" s="80"/>
      <c r="D2007" s="80"/>
      <c r="E2007" s="22"/>
      <c r="F2007" s="63"/>
      <c r="G2007" s="186"/>
      <c r="I2007" s="110"/>
      <c r="J2007" s="382"/>
      <c r="K2007" s="103"/>
    </row>
    <row r="2008" spans="1:11">
      <c r="A2008" s="204"/>
      <c r="B2008" s="215" t="s">
        <v>99</v>
      </c>
      <c r="C2008" s="221" t="s">
        <v>32</v>
      </c>
      <c r="D2008" s="384">
        <v>1</v>
      </c>
      <c r="E2008" s="215"/>
      <c r="F2008" s="212">
        <f>E2008*D2008</f>
        <v>0</v>
      </c>
      <c r="G2008" s="193"/>
      <c r="H2008" s="9"/>
      <c r="I2008" s="110"/>
      <c r="J2008" s="383"/>
      <c r="K2008" s="103"/>
    </row>
    <row r="2009" spans="1:11">
      <c r="A2009" s="32"/>
      <c r="B2009" s="113"/>
      <c r="C2009" s="22"/>
      <c r="D2009" s="22"/>
      <c r="E2009" s="22"/>
      <c r="F2009" s="63"/>
      <c r="G2009" s="186"/>
      <c r="I2009" s="103"/>
      <c r="J2009" s="103"/>
      <c r="K2009" s="103"/>
    </row>
    <row r="2010" spans="1:11" ht="51">
      <c r="A2010" s="76" t="s">
        <v>211</v>
      </c>
      <c r="B2010" s="22" t="s">
        <v>795</v>
      </c>
      <c r="C2010" s="22"/>
      <c r="D2010" s="22"/>
      <c r="E2010" s="22"/>
      <c r="F2010" s="63"/>
      <c r="G2010" s="186"/>
      <c r="I2010" s="103"/>
      <c r="J2010" s="103"/>
      <c r="K2010" s="103"/>
    </row>
    <row r="2011" spans="1:11" ht="51">
      <c r="A2011" s="76"/>
      <c r="B2011" s="80" t="s">
        <v>727</v>
      </c>
      <c r="C2011" s="22"/>
      <c r="D2011" s="22"/>
      <c r="E2011" s="22"/>
      <c r="F2011" s="159"/>
      <c r="G2011" s="186"/>
      <c r="I2011" s="103"/>
      <c r="J2011" s="103"/>
      <c r="K2011" s="103"/>
    </row>
    <row r="2012" spans="1:11">
      <c r="A2012" s="76"/>
      <c r="B2012" s="80" t="s">
        <v>718</v>
      </c>
      <c r="C2012" s="22"/>
      <c r="D2012" s="22"/>
      <c r="E2012" s="22"/>
      <c r="F2012" s="63"/>
      <c r="G2012" s="186"/>
      <c r="I2012" s="103"/>
      <c r="J2012" s="103"/>
      <c r="K2012" s="103"/>
    </row>
    <row r="2013" spans="1:11">
      <c r="A2013" s="76"/>
      <c r="B2013" s="80" t="s">
        <v>717</v>
      </c>
      <c r="C2013" s="24"/>
      <c r="D2013" s="78"/>
      <c r="E2013" s="10"/>
      <c r="F2013" s="30"/>
      <c r="G2013" s="186"/>
      <c r="H2013" s="9"/>
      <c r="I2013" s="103"/>
      <c r="J2013" s="103"/>
      <c r="K2013" s="103"/>
    </row>
    <row r="2014" spans="1:11">
      <c r="A2014" s="32"/>
      <c r="B2014" s="113"/>
      <c r="C2014" s="24"/>
      <c r="D2014" s="143"/>
      <c r="E2014" s="48"/>
      <c r="F2014" s="271">
        <f>+D2014*E2014</f>
        <v>0</v>
      </c>
      <c r="G2014" s="186"/>
      <c r="H2014" s="380"/>
      <c r="I2014" s="103"/>
      <c r="J2014" s="103"/>
      <c r="K2014" s="103"/>
    </row>
    <row r="2015" spans="1:11">
      <c r="A2015" s="32"/>
      <c r="B2015" s="113" t="s">
        <v>165</v>
      </c>
      <c r="C2015" s="24"/>
      <c r="D2015" s="143"/>
      <c r="E2015" s="48"/>
      <c r="F2015" s="271"/>
      <c r="G2015" s="186"/>
      <c r="H2015" s="380"/>
      <c r="I2015" s="103"/>
      <c r="J2015" s="103"/>
      <c r="K2015" s="103"/>
    </row>
    <row r="2016" spans="1:11">
      <c r="A2016" s="32"/>
      <c r="B2016" s="23" t="s">
        <v>729</v>
      </c>
      <c r="C2016" s="81" t="s">
        <v>38</v>
      </c>
      <c r="D2016" s="21">
        <f>1.4*12.2</f>
        <v>17.079999999999998</v>
      </c>
      <c r="E2016" s="14"/>
      <c r="F2016" s="30">
        <f>E2016*D2016</f>
        <v>0</v>
      </c>
      <c r="G2016" s="193"/>
      <c r="H2016" s="380"/>
      <c r="I2016" s="103"/>
      <c r="J2016" s="103"/>
      <c r="K2016" s="103"/>
    </row>
    <row r="2017" spans="1:11">
      <c r="A2017" s="32"/>
      <c r="B2017" s="113"/>
      <c r="C2017" s="24"/>
      <c r="D2017" s="143"/>
      <c r="E2017" s="48"/>
      <c r="F2017" s="271"/>
      <c r="G2017" s="186"/>
      <c r="H2017" s="380"/>
      <c r="I2017" s="103"/>
      <c r="J2017" s="103"/>
      <c r="K2017" s="103"/>
    </row>
    <row r="2018" spans="1:11">
      <c r="A2018" s="32"/>
      <c r="B2018" s="113" t="s">
        <v>728</v>
      </c>
      <c r="C2018" s="24"/>
      <c r="D2018" s="143"/>
      <c r="E2018" s="48"/>
      <c r="F2018" s="271"/>
      <c r="G2018" s="186"/>
      <c r="H2018" s="380"/>
      <c r="I2018" s="103"/>
      <c r="J2018" s="103"/>
      <c r="K2018" s="103"/>
    </row>
    <row r="2019" spans="1:11">
      <c r="A2019" s="32"/>
      <c r="B2019" s="23" t="s">
        <v>667</v>
      </c>
      <c r="C2019" s="81" t="s">
        <v>38</v>
      </c>
      <c r="D2019" s="21">
        <f>2.2*41.2*2</f>
        <v>181.28000000000003</v>
      </c>
      <c r="E2019" s="14"/>
      <c r="F2019" s="30">
        <f>E2019*D2019</f>
        <v>0</v>
      </c>
      <c r="G2019" s="193"/>
      <c r="H2019" s="184"/>
      <c r="I2019" s="103"/>
      <c r="J2019" s="103"/>
      <c r="K2019" s="103"/>
    </row>
    <row r="2020" spans="1:11">
      <c r="A2020" s="32"/>
      <c r="B2020" s="23"/>
      <c r="C2020" s="24"/>
      <c r="D2020" s="78"/>
      <c r="E2020" s="10"/>
      <c r="F2020" s="30"/>
      <c r="G2020" s="186"/>
      <c r="H2020" s="9"/>
      <c r="I2020" s="103"/>
      <c r="J2020" s="103"/>
      <c r="K2020" s="103"/>
    </row>
    <row r="2021" spans="1:11" ht="51">
      <c r="A2021" s="76" t="s">
        <v>98</v>
      </c>
      <c r="B2021" s="16" t="s">
        <v>110</v>
      </c>
      <c r="C2021" s="22"/>
      <c r="D2021" s="22"/>
      <c r="E2021" s="22"/>
      <c r="F2021" s="63"/>
      <c r="G2021" s="186"/>
      <c r="I2021" s="103"/>
      <c r="J2021" s="103"/>
      <c r="K2021" s="103"/>
    </row>
    <row r="2022" spans="1:11">
      <c r="A2022" s="32"/>
      <c r="B2022" s="10" t="s">
        <v>41</v>
      </c>
      <c r="C2022" s="22"/>
      <c r="D2022" s="22"/>
      <c r="E2022" s="22"/>
      <c r="F2022" s="63"/>
      <c r="G2022" s="186"/>
      <c r="H2022" s="89"/>
      <c r="I2022" s="103"/>
      <c r="J2022" s="103"/>
      <c r="K2022" s="103"/>
    </row>
    <row r="2023" spans="1:11">
      <c r="A2023" s="32"/>
      <c r="B2023" s="10"/>
      <c r="C2023" s="22"/>
      <c r="D2023" s="22"/>
      <c r="E2023" s="22"/>
      <c r="F2023" s="63"/>
      <c r="G2023" s="186"/>
      <c r="I2023" s="103"/>
      <c r="J2023" s="103"/>
      <c r="K2023" s="103"/>
    </row>
    <row r="2024" spans="1:11">
      <c r="A2024" s="32"/>
      <c r="B2024" s="22" t="s">
        <v>27</v>
      </c>
      <c r="C2024" s="22"/>
      <c r="D2024" s="22">
        <v>365.36</v>
      </c>
      <c r="E2024" s="22"/>
      <c r="F2024" s="63"/>
      <c r="G2024" s="186"/>
      <c r="I2024" s="103"/>
      <c r="J2024" s="103"/>
      <c r="K2024" s="103"/>
    </row>
    <row r="2025" spans="1:11">
      <c r="A2025" s="32"/>
      <c r="B2025" s="10"/>
      <c r="C2025" s="22"/>
      <c r="D2025" s="22"/>
      <c r="E2025" s="22"/>
      <c r="F2025" s="63"/>
      <c r="G2025" s="186"/>
      <c r="I2025" s="103"/>
      <c r="J2025" s="103"/>
      <c r="K2025" s="103"/>
    </row>
    <row r="2026" spans="1:11">
      <c r="A2026" s="32"/>
      <c r="B2026" s="22" t="s">
        <v>360</v>
      </c>
      <c r="C2026" s="22"/>
      <c r="D2026" s="22">
        <v>391.74</v>
      </c>
      <c r="E2026" s="22"/>
      <c r="F2026" s="63"/>
      <c r="G2026" s="186"/>
      <c r="I2026" s="103"/>
      <c r="J2026" s="103"/>
      <c r="K2026" s="103"/>
    </row>
    <row r="2027" spans="1:11">
      <c r="A2027" s="32"/>
      <c r="B2027" s="10"/>
      <c r="C2027" s="22"/>
      <c r="D2027" s="22"/>
      <c r="E2027" s="22"/>
      <c r="F2027" s="63"/>
      <c r="G2027" s="186"/>
      <c r="I2027" s="103"/>
      <c r="J2027" s="103"/>
      <c r="K2027" s="103"/>
    </row>
    <row r="2028" spans="1:11">
      <c r="A2028" s="32"/>
      <c r="B2028" s="22" t="s">
        <v>361</v>
      </c>
      <c r="C2028" s="22"/>
      <c r="D2028" s="22">
        <f>391.74*3</f>
        <v>1175.22</v>
      </c>
      <c r="E2028" s="22"/>
      <c r="F2028" s="63"/>
      <c r="G2028" s="186"/>
      <c r="I2028" s="103"/>
      <c r="J2028" s="103"/>
      <c r="K2028" s="103"/>
    </row>
    <row r="2029" spans="1:11">
      <c r="A2029" s="32"/>
      <c r="B2029" s="10"/>
      <c r="C2029" s="22"/>
      <c r="D2029" s="22"/>
      <c r="E2029" s="22"/>
      <c r="F2029" s="63"/>
      <c r="G2029" s="186"/>
      <c r="I2029" s="103"/>
      <c r="J2029" s="103"/>
      <c r="K2029" s="103"/>
    </row>
    <row r="2030" spans="1:11">
      <c r="A2030" s="32"/>
      <c r="B2030" s="10" t="s">
        <v>166</v>
      </c>
      <c r="C2030" s="24" t="s">
        <v>38</v>
      </c>
      <c r="D2030" s="22">
        <f>SUM(D2023:D2029)</f>
        <v>1932.3200000000002</v>
      </c>
      <c r="E2030" s="10"/>
      <c r="F2030" s="30">
        <f>E2030*D2030</f>
        <v>0</v>
      </c>
      <c r="G2030" s="193"/>
      <c r="H2030" s="9"/>
      <c r="I2030" s="103"/>
      <c r="J2030" s="103"/>
      <c r="K2030" s="103"/>
    </row>
    <row r="2031" spans="1:11" ht="13.5" thickBot="1">
      <c r="A2031" s="90"/>
      <c r="B2031" s="118"/>
      <c r="C2031" s="116"/>
      <c r="D2031" s="91"/>
      <c r="E2031" s="118"/>
      <c r="F2031" s="270"/>
      <c r="G2031" s="186"/>
      <c r="H2031" s="9"/>
      <c r="I2031" s="103"/>
      <c r="J2031" s="103"/>
      <c r="K2031" s="103"/>
    </row>
    <row r="2032" spans="1:11" ht="15.75" thickBot="1">
      <c r="A2032" s="57" t="str">
        <f>A1990</f>
        <v>16.</v>
      </c>
      <c r="B2032" s="58" t="s">
        <v>107</v>
      </c>
      <c r="C2032" s="59"/>
      <c r="D2032" s="60"/>
      <c r="E2032" s="61"/>
      <c r="F2032" s="52">
        <f>SUM(F1992:F2031)</f>
        <v>0</v>
      </c>
      <c r="G2032" s="396"/>
      <c r="H2032" s="313"/>
      <c r="I2032" s="103"/>
      <c r="J2032" s="103"/>
      <c r="K2032" s="103"/>
    </row>
    <row r="2033" spans="1:12" ht="13.5" thickBot="1">
      <c r="A2033" s="186"/>
      <c r="B2033" s="103"/>
      <c r="C2033" s="103"/>
      <c r="D2033" s="103"/>
      <c r="E2033" s="103"/>
      <c r="F2033" s="159"/>
      <c r="G2033" s="186"/>
      <c r="I2033" s="103"/>
      <c r="J2033" s="103"/>
      <c r="K2033" s="103"/>
    </row>
    <row r="2034" spans="1:12" ht="18.75" thickBot="1">
      <c r="A2034" s="65"/>
      <c r="B2034" s="67" t="s">
        <v>17</v>
      </c>
      <c r="C2034" s="68"/>
      <c r="D2034" s="68"/>
      <c r="E2034" s="68"/>
      <c r="F2034" s="272"/>
      <c r="G2034" s="186"/>
      <c r="H2034" s="385"/>
      <c r="I2034" s="103"/>
      <c r="J2034" s="103"/>
      <c r="K2034" s="103"/>
    </row>
    <row r="2035" spans="1:12" ht="15.75" thickBot="1">
      <c r="A2035" s="57" t="str">
        <f>A5</f>
        <v>1.</v>
      </c>
      <c r="B2035" s="58" t="str">
        <f>B5</f>
        <v>ЗЕМЉАНИ РАДОВИ</v>
      </c>
      <c r="C2035" s="59"/>
      <c r="D2035" s="59"/>
      <c r="E2035" s="66"/>
      <c r="F2035" s="52">
        <f>F46</f>
        <v>0</v>
      </c>
      <c r="G2035" s="396"/>
      <c r="H2035" s="385"/>
      <c r="I2035" s="103"/>
      <c r="J2035" s="103"/>
      <c r="K2035" s="103"/>
    </row>
    <row r="2036" spans="1:12" ht="15.75" thickBot="1">
      <c r="A2036" s="57" t="str">
        <f>A47</f>
        <v>2.</v>
      </c>
      <c r="B2036" s="58" t="str">
        <f>B47</f>
        <v>БЕТОНСКИ И АРМИРАНО БЕТОНСКИ РАДОВИ</v>
      </c>
      <c r="C2036" s="59"/>
      <c r="D2036" s="59"/>
      <c r="E2036" s="66"/>
      <c r="F2036" s="52">
        <f>F279</f>
        <v>0</v>
      </c>
      <c r="G2036" s="396"/>
      <c r="H2036" s="385"/>
      <c r="I2036" s="103"/>
      <c r="J2036" s="103"/>
      <c r="K2036" s="103"/>
    </row>
    <row r="2037" spans="1:12" ht="15.75" thickBot="1">
      <c r="A2037" s="57" t="str">
        <f>A280</f>
        <v>3.</v>
      </c>
      <c r="B2037" s="58" t="str">
        <f>B280</f>
        <v xml:space="preserve">АРМИРАЧКИ РАДОВИ </v>
      </c>
      <c r="C2037" s="59"/>
      <c r="D2037" s="59"/>
      <c r="E2037" s="66"/>
      <c r="F2037" s="52">
        <f>F286</f>
        <v>0</v>
      </c>
      <c r="G2037" s="396"/>
      <c r="H2037" s="385"/>
      <c r="I2037" s="103"/>
      <c r="J2037" s="103"/>
      <c r="K2037" s="103"/>
    </row>
    <row r="2038" spans="1:12" ht="15.75" thickBot="1">
      <c r="A2038" s="57" t="str">
        <f>A287:B287</f>
        <v>4.</v>
      </c>
      <c r="B2038" s="58" t="str">
        <f>B287</f>
        <v>ЗИДАРСКИ РАДОВИ</v>
      </c>
      <c r="C2038" s="59"/>
      <c r="D2038" s="59"/>
      <c r="E2038" s="66"/>
      <c r="F2038" s="52">
        <f>F640</f>
        <v>0</v>
      </c>
      <c r="G2038" s="396"/>
      <c r="H2038" s="385"/>
      <c r="I2038" s="103"/>
      <c r="J2038" s="103"/>
      <c r="K2038" s="103"/>
    </row>
    <row r="2039" spans="1:12" ht="15.75" thickBot="1">
      <c r="A2039" s="57" t="str">
        <f>A641</f>
        <v>5.</v>
      </c>
      <c r="B2039" s="58" t="str">
        <f>B641</f>
        <v>ТЕСАРСКИ РАДОВИ</v>
      </c>
      <c r="C2039" s="59"/>
      <c r="D2039" s="59"/>
      <c r="E2039" s="66"/>
      <c r="F2039" s="52">
        <f>F676</f>
        <v>0</v>
      </c>
      <c r="G2039" s="396"/>
      <c r="H2039" s="385"/>
      <c r="I2039" s="103"/>
      <c r="J2039" s="103"/>
      <c r="K2039" s="103"/>
    </row>
    <row r="2040" spans="1:12" ht="15.75" thickBot="1">
      <c r="A2040" s="57" t="str">
        <f>A677</f>
        <v>6.</v>
      </c>
      <c r="B2040" s="58" t="str">
        <f>B677</f>
        <v>ИЗОЛАТЕРСКИ РАДОВИ</v>
      </c>
      <c r="C2040" s="59"/>
      <c r="D2040" s="59"/>
      <c r="E2040" s="66"/>
      <c r="F2040" s="52">
        <f>F1015</f>
        <v>0</v>
      </c>
      <c r="G2040" s="396"/>
      <c r="H2040" s="385"/>
      <c r="I2040" s="103"/>
      <c r="J2040" s="103"/>
      <c r="K2040" s="103"/>
    </row>
    <row r="2041" spans="1:12" ht="15.75" thickBot="1">
      <c r="A2041" s="57" t="str">
        <f>A1016</f>
        <v>7.</v>
      </c>
      <c r="B2041" s="58" t="str">
        <f>B1016</f>
        <v>СУВОМОНТАЖНИ РАДОВИ</v>
      </c>
      <c r="C2041" s="59"/>
      <c r="D2041" s="59"/>
      <c r="E2041" s="66"/>
      <c r="F2041" s="52">
        <f>F1103</f>
        <v>0</v>
      </c>
      <c r="G2041" s="396"/>
      <c r="H2041" s="385"/>
      <c r="I2041" s="103"/>
      <c r="J2041" s="103"/>
      <c r="K2041" s="103"/>
    </row>
    <row r="2042" spans="1:12" ht="15.75" thickBot="1">
      <c r="A2042" s="57" t="str">
        <f>A1104</f>
        <v>8.</v>
      </c>
      <c r="B2042" s="58" t="str">
        <f>B1104</f>
        <v>СТОЛАРСКИ  РАДОВИ</v>
      </c>
      <c r="C2042" s="59"/>
      <c r="D2042" s="59"/>
      <c r="E2042" s="66"/>
      <c r="F2042" s="52">
        <f>F1218</f>
        <v>0</v>
      </c>
      <c r="G2042" s="396"/>
      <c r="H2042" s="385"/>
      <c r="I2042" s="103"/>
      <c r="J2042" s="103"/>
      <c r="K2042" s="103"/>
      <c r="L2042" s="6">
        <f>73.51-72.61</f>
        <v>0.90000000000000568</v>
      </c>
    </row>
    <row r="2043" spans="1:12" ht="15.75" thickBot="1">
      <c r="A2043" s="57" t="str">
        <f>A1219</f>
        <v>9.</v>
      </c>
      <c r="B2043" s="58" t="str">
        <f>B1219</f>
        <v>ПВЦ СТОЛАРИЈА</v>
      </c>
      <c r="C2043" s="59"/>
      <c r="D2043" s="59"/>
      <c r="E2043" s="66"/>
      <c r="F2043" s="52">
        <f>F1315</f>
        <v>0</v>
      </c>
      <c r="G2043" s="396"/>
      <c r="H2043" s="385"/>
      <c r="I2043" s="103"/>
      <c r="J2043" s="103"/>
      <c r="K2043" s="103"/>
    </row>
    <row r="2044" spans="1:12" ht="15.75" thickBot="1">
      <c r="A2044" s="57" t="str">
        <f>A1316</f>
        <v>10.</v>
      </c>
      <c r="B2044" s="58" t="str">
        <f>B1316</f>
        <v>АЛУМИНАРИЈА И БРАВАРСКИ РАДОВИ</v>
      </c>
      <c r="C2044" s="59"/>
      <c r="D2044" s="59"/>
      <c r="E2044" s="66"/>
      <c r="F2044" s="52">
        <f>F1539</f>
        <v>0</v>
      </c>
      <c r="G2044" s="396"/>
      <c r="H2044" s="385"/>
      <c r="I2044" s="103"/>
      <c r="J2044" s="103"/>
      <c r="K2044" s="103"/>
    </row>
    <row r="2045" spans="1:12" ht="15.75" thickBot="1">
      <c r="A2045" s="57" t="str">
        <f>A1540</f>
        <v>11.</v>
      </c>
      <c r="B2045" s="58" t="str">
        <f>B1540</f>
        <v>ЛИМАРСКИ РАДОВИ</v>
      </c>
      <c r="C2045" s="59"/>
      <c r="D2045" s="59"/>
      <c r="E2045" s="66"/>
      <c r="F2045" s="52">
        <f>F1656</f>
        <v>0</v>
      </c>
      <c r="G2045" s="396"/>
      <c r="H2045" s="385"/>
      <c r="I2045" s="103"/>
      <c r="J2045" s="103"/>
      <c r="K2045" s="103"/>
    </row>
    <row r="2046" spans="1:12" ht="15.75" thickBot="1">
      <c r="A2046" s="57" t="str">
        <f>A1657</f>
        <v>12.</v>
      </c>
      <c r="B2046" s="58" t="str">
        <f>B1657</f>
        <v>КЕРАМИЧАРСКИ РАДОВИ</v>
      </c>
      <c r="C2046" s="59"/>
      <c r="D2046" s="59"/>
      <c r="E2046" s="66"/>
      <c r="F2046" s="52">
        <f>F1821</f>
        <v>0</v>
      </c>
      <c r="G2046" s="396"/>
      <c r="H2046" s="385"/>
      <c r="I2046" s="103"/>
      <c r="J2046" s="103"/>
      <c r="K2046" s="103"/>
    </row>
    <row r="2047" spans="1:12" ht="15.75" thickBot="1">
      <c r="A2047" s="57" t="str">
        <f>A1822</f>
        <v>13.</v>
      </c>
      <c r="B2047" s="58" t="str">
        <f>B1822</f>
        <v>ПОДОПОЛАГАЧКИ РАДОВИ</v>
      </c>
      <c r="C2047" s="59"/>
      <c r="D2047" s="59"/>
      <c r="E2047" s="66"/>
      <c r="F2047" s="52">
        <f>F1873</f>
        <v>0</v>
      </c>
      <c r="G2047" s="396"/>
      <c r="H2047" s="385"/>
      <c r="I2047" s="103"/>
      <c r="J2047" s="103"/>
      <c r="K2047" s="103"/>
    </row>
    <row r="2048" spans="1:12" ht="15.75" thickBot="1">
      <c r="A2048" s="57" t="str">
        <f>A1874</f>
        <v>14.</v>
      </c>
      <c r="B2048" s="58" t="str">
        <f>B1874</f>
        <v>МОЛЕРСКО ФАРБАРСКИ РАДОВИ</v>
      </c>
      <c r="C2048" s="59"/>
      <c r="D2048" s="59"/>
      <c r="E2048" s="66"/>
      <c r="F2048" s="52">
        <f>F1914</f>
        <v>0</v>
      </c>
      <c r="G2048" s="396"/>
      <c r="H2048" s="385"/>
      <c r="I2048" s="103"/>
      <c r="J2048" s="103"/>
      <c r="K2048" s="103"/>
    </row>
    <row r="2049" spans="1:14" ht="15.75" thickBot="1">
      <c r="A2049" s="57" t="str">
        <f>A1915</f>
        <v>15.</v>
      </c>
      <c r="B2049" s="58" t="str">
        <f>B1915</f>
        <v>ФАСАДЕРСКИ РАДОВИ</v>
      </c>
      <c r="C2049" s="59"/>
      <c r="D2049" s="59"/>
      <c r="E2049" s="66"/>
      <c r="F2049" s="52">
        <f>F1989</f>
        <v>0</v>
      </c>
      <c r="G2049" s="396"/>
      <c r="H2049" s="385"/>
      <c r="I2049" s="103"/>
      <c r="J2049" s="103"/>
      <c r="K2049" s="103"/>
    </row>
    <row r="2050" spans="1:14" ht="15.75" thickBot="1">
      <c r="A2050" s="57" t="str">
        <f>A1990</f>
        <v>16.</v>
      </c>
      <c r="B2050" s="58" t="str">
        <f>B1990</f>
        <v>РАЗНИ РАДОВИ</v>
      </c>
      <c r="C2050" s="59"/>
      <c r="D2050" s="59"/>
      <c r="E2050" s="66"/>
      <c r="F2050" s="52">
        <f>F2032</f>
        <v>0</v>
      </c>
      <c r="G2050" s="396"/>
      <c r="H2050" s="385"/>
      <c r="I2050" s="103"/>
      <c r="J2050" s="103"/>
      <c r="K2050" s="103"/>
    </row>
    <row r="2051" spans="1:14" ht="15.75" thickBot="1">
      <c r="A2051" s="273"/>
      <c r="B2051" s="60"/>
      <c r="C2051" s="59"/>
      <c r="D2051" s="59"/>
      <c r="E2051" s="59"/>
      <c r="F2051" s="151"/>
      <c r="G2051" s="396"/>
      <c r="H2051" s="385"/>
      <c r="I2051" s="103"/>
      <c r="J2051" s="103"/>
      <c r="K2051" s="103"/>
    </row>
    <row r="2052" spans="1:14" ht="15.75" thickBot="1">
      <c r="A2052" s="170"/>
      <c r="B2052" s="150" t="s">
        <v>282</v>
      </c>
      <c r="C2052" s="133"/>
      <c r="D2052" s="133"/>
      <c r="E2052" s="151"/>
      <c r="F2052" s="52">
        <f>SUM(F2035:F2050)</f>
        <v>0</v>
      </c>
      <c r="G2052" s="396"/>
      <c r="H2052" s="386"/>
      <c r="I2052" s="103"/>
      <c r="J2052" s="103"/>
      <c r="K2052" s="103"/>
    </row>
    <row r="2053" spans="1:14" s="109" customFormat="1" ht="15.75" thickBot="1">
      <c r="A2053" s="170"/>
      <c r="B2053" s="150" t="s">
        <v>283</v>
      </c>
      <c r="C2053" s="133"/>
      <c r="D2053" s="133"/>
      <c r="E2053" s="151"/>
      <c r="F2053" s="52">
        <f>+F2052*0.2</f>
        <v>0</v>
      </c>
      <c r="G2053" s="396"/>
      <c r="H2053" s="386"/>
      <c r="I2053" s="103"/>
      <c r="J2053" s="103"/>
      <c r="K2053" s="103"/>
      <c r="L2053" s="6"/>
      <c r="M2053" s="6"/>
      <c r="N2053" s="6"/>
    </row>
    <row r="2054" spans="1:14" ht="15.75" thickBot="1">
      <c r="A2054" s="170"/>
      <c r="B2054" s="150" t="s">
        <v>284</v>
      </c>
      <c r="C2054" s="133"/>
      <c r="D2054" s="133"/>
      <c r="E2054" s="151"/>
      <c r="F2054" s="52">
        <f>SUM(F2052+F2053)</f>
        <v>0</v>
      </c>
      <c r="G2054" s="396"/>
      <c r="H2054" s="386"/>
      <c r="I2054" s="103"/>
      <c r="J2054" s="103"/>
      <c r="K2054" s="103"/>
    </row>
    <row r="2057" spans="1:14">
      <c r="E2057" s="123"/>
      <c r="F2057" s="103"/>
      <c r="G2057" s="387"/>
      <c r="H2057" s="6"/>
    </row>
    <row r="2058" spans="1:14">
      <c r="B2058" s="109"/>
      <c r="F2058" s="103"/>
      <c r="G2058" s="414"/>
      <c r="H2058" s="415">
        <f>F2052/120/2383.45</f>
        <v>0</v>
      </c>
      <c r="I2058" s="388" t="s">
        <v>721</v>
      </c>
    </row>
    <row r="2059" spans="1:14">
      <c r="E2059" s="122"/>
      <c r="F2059" s="103"/>
      <c r="G2059" s="103"/>
      <c r="I2059" s="388"/>
    </row>
    <row r="2060" spans="1:14">
      <c r="F2060" s="103"/>
      <c r="G2060" s="103"/>
      <c r="I2060" s="388"/>
    </row>
    <row r="2061" spans="1:14">
      <c r="F2061" s="103"/>
      <c r="G2061" s="103"/>
      <c r="H2061" s="388"/>
    </row>
    <row r="2063" spans="1:14">
      <c r="E2063" s="381" t="s">
        <v>1287</v>
      </c>
      <c r="H2063" s="171"/>
    </row>
    <row r="2064" spans="1:14">
      <c r="A2064" s="109"/>
      <c r="C2064" s="109"/>
      <c r="D2064" s="109"/>
      <c r="E2064" s="9"/>
      <c r="F2064" s="114"/>
      <c r="G2064" s="109"/>
      <c r="H2064" s="128"/>
      <c r="I2064" s="109"/>
      <c r="J2064" s="109"/>
      <c r="K2064" s="109"/>
      <c r="L2064" s="109"/>
      <c r="M2064" s="109"/>
      <c r="N2064" s="109"/>
    </row>
    <row r="2065" spans="1:11">
      <c r="E2065" s="381" t="s">
        <v>1288</v>
      </c>
      <c r="H2065" s="425"/>
      <c r="I2065" s="425"/>
      <c r="J2065" s="249"/>
      <c r="K2065" s="388"/>
    </row>
    <row r="2066" spans="1:11">
      <c r="E2066" s="418"/>
    </row>
    <row r="2067" spans="1:11">
      <c r="E2067" s="418"/>
      <c r="F2067" s="183"/>
      <c r="G2067" s="249"/>
      <c r="H2067" s="388"/>
    </row>
    <row r="2068" spans="1:11">
      <c r="E2068" s="381" t="s">
        <v>1289</v>
      </c>
      <c r="F2068" s="114"/>
    </row>
    <row r="2069" spans="1:11">
      <c r="E2069" s="9"/>
    </row>
    <row r="2070" spans="1:11">
      <c r="E2070" s="381" t="s">
        <v>1290</v>
      </c>
    </row>
    <row r="2071" spans="1:11">
      <c r="E2071" s="122"/>
      <c r="H2071" s="171"/>
    </row>
    <row r="2073" spans="1:11">
      <c r="A2073" s="428" t="s">
        <v>1284</v>
      </c>
      <c r="B2073" s="428"/>
      <c r="E2073" s="122"/>
      <c r="H2073" s="171"/>
    </row>
    <row r="2074" spans="1:11">
      <c r="E2074" s="109"/>
      <c r="H2074" s="128"/>
    </row>
    <row r="2119" spans="8:8">
      <c r="H2119" s="6"/>
    </row>
    <row r="2120" spans="8:8">
      <c r="H2120" s="6"/>
    </row>
    <row r="2121" spans="8:8">
      <c r="H2121" s="6"/>
    </row>
    <row r="2122" spans="8:8">
      <c r="H2122" s="6"/>
    </row>
    <row r="2123" spans="8:8">
      <c r="H2123" s="6"/>
    </row>
    <row r="2124" spans="8:8">
      <c r="H2124" s="6"/>
    </row>
    <row r="2125" spans="8:8">
      <c r="H2125" s="6"/>
    </row>
    <row r="2126" spans="8:8">
      <c r="H2126" s="6"/>
    </row>
    <row r="2127" spans="8:8">
      <c r="H2127" s="6"/>
    </row>
    <row r="2128" spans="8:8">
      <c r="H2128" s="6"/>
    </row>
    <row r="2129" spans="8:8">
      <c r="H2129" s="6"/>
    </row>
    <row r="2130" spans="8:8">
      <c r="H2130" s="6"/>
    </row>
    <row r="2131" spans="8:8">
      <c r="H2131" s="6"/>
    </row>
    <row r="2132" spans="8:8">
      <c r="H2132" s="6"/>
    </row>
    <row r="2133" spans="8:8">
      <c r="H2133" s="6"/>
    </row>
    <row r="2134" spans="8:8">
      <c r="H2134" s="6"/>
    </row>
    <row r="2135" spans="8:8">
      <c r="H2135" s="6"/>
    </row>
    <row r="2136" spans="8:8">
      <c r="H2136" s="6"/>
    </row>
    <row r="2137" spans="8:8">
      <c r="H2137" s="6"/>
    </row>
    <row r="2138" spans="8:8">
      <c r="H2138" s="6"/>
    </row>
    <row r="2139" spans="8:8">
      <c r="H2139" s="6"/>
    </row>
    <row r="2140" spans="8:8">
      <c r="H2140" s="6"/>
    </row>
    <row r="2141" spans="8:8">
      <c r="H2141" s="6"/>
    </row>
    <row r="2142" spans="8:8">
      <c r="H2142" s="6"/>
    </row>
    <row r="2143" spans="8:8">
      <c r="H2143" s="6"/>
    </row>
    <row r="2144" spans="8:8">
      <c r="H2144" s="6"/>
    </row>
    <row r="2145" spans="8:8">
      <c r="H2145" s="6"/>
    </row>
    <row r="2146" spans="8:8">
      <c r="H2146" s="6"/>
    </row>
    <row r="2147" spans="8:8">
      <c r="H2147" s="6"/>
    </row>
    <row r="2148" spans="8:8">
      <c r="H2148" s="6"/>
    </row>
    <row r="2149" spans="8:8">
      <c r="H2149" s="6"/>
    </row>
    <row r="2150" spans="8:8">
      <c r="H2150" s="6"/>
    </row>
    <row r="2151" spans="8:8">
      <c r="H2151" s="6"/>
    </row>
    <row r="2152" spans="8:8">
      <c r="H2152" s="6"/>
    </row>
    <row r="2153" spans="8:8">
      <c r="H2153" s="6"/>
    </row>
    <row r="2154" spans="8:8">
      <c r="H2154" s="6"/>
    </row>
    <row r="2155" spans="8:8">
      <c r="H2155" s="6"/>
    </row>
    <row r="2156" spans="8:8">
      <c r="H2156" s="6"/>
    </row>
    <row r="2157" spans="8:8">
      <c r="H2157" s="6"/>
    </row>
  </sheetData>
  <mergeCells count="9">
    <mergeCell ref="A1:F1"/>
    <mergeCell ref="A2:F2"/>
    <mergeCell ref="H2065:I2065"/>
    <mergeCell ref="G1016:K1016"/>
    <mergeCell ref="A2073:B2073"/>
    <mergeCell ref="B5:F5"/>
    <mergeCell ref="A3:A4"/>
    <mergeCell ref="B3:B4"/>
    <mergeCell ref="C3:C4"/>
  </mergeCells>
  <phoneticPr fontId="5" type="noConversion"/>
  <printOptions horizontalCentered="1"/>
  <pageMargins left="0.9055118110236221" right="0.11811023622047245" top="0.19685039370078741" bottom="0.35433070866141736" header="0.11811023622047245" footer="0.11811023622047245"/>
  <pageSetup paperSize="9" orientation="portrait" r:id="rId1"/>
  <headerFooter scaleWithDoc="0" alignWithMargins="0">
    <oddFooter>&amp;R&amp;"Arial,Bold"&amp;P&amp;"Arial,Regular"/&amp;N</oddFooter>
  </headerFooter>
  <rowBreaks count="93" manualBreakCount="93">
    <brk id="23" max="16383" man="1"/>
    <brk id="46" max="16383" man="1"/>
    <brk id="69" max="16383" man="1"/>
    <brk id="94" max="16383" man="1"/>
    <brk id="117" max="16383" man="1"/>
    <brk id="135" max="16383" man="1"/>
    <brk id="155" max="16383" man="1"/>
    <brk id="189" max="16383" man="1"/>
    <brk id="213" max="16383" man="1"/>
    <brk id="239" max="16383" man="1"/>
    <brk id="269" max="16383" man="1"/>
    <brk id="279" max="16383" man="1"/>
    <brk id="286" max="16383" man="1"/>
    <brk id="316" max="16383" man="1"/>
    <brk id="345" max="16383" man="1"/>
    <brk id="367" max="16383" man="1"/>
    <brk id="393" max="16383" man="1"/>
    <brk id="420" max="16383" man="1"/>
    <brk id="454" max="16383" man="1"/>
    <brk id="471" max="16383" man="1"/>
    <brk id="511" max="16383" man="1"/>
    <brk id="546" max="16383" man="1"/>
    <brk id="572" max="16383" man="1"/>
    <brk id="594" max="16383" man="1"/>
    <brk id="620" max="16383" man="1"/>
    <brk id="640" min="1" max="5" man="1"/>
    <brk id="661" max="16383" man="1"/>
    <brk id="676" min="1" max="5" man="1"/>
    <brk id="692" max="16383" man="1"/>
    <brk id="698" max="16383" man="1"/>
    <brk id="714" max="16383" man="1"/>
    <brk id="736" max="16383" man="1"/>
    <brk id="746" max="16383" man="1"/>
    <brk id="757" max="16383" man="1"/>
    <brk id="786" max="16383" man="1"/>
    <brk id="813" max="16383" man="1"/>
    <brk id="824" max="16383" man="1"/>
    <brk id="857" max="16383" man="1"/>
    <brk id="880" max="16383" man="1"/>
    <brk id="906" max="16383" man="1"/>
    <brk id="934" max="16383" man="1"/>
    <brk id="964" max="16383" man="1"/>
    <brk id="982" max="16383" man="1"/>
    <brk id="998" max="16383" man="1"/>
    <brk id="1015" min="1" max="5" man="1"/>
    <brk id="1049" max="16383" man="1"/>
    <brk id="1072" max="16383" man="1"/>
    <brk id="1098" max="16383" man="1"/>
    <brk id="1103" max="16383" man="1"/>
    <brk id="1120" max="16383" man="1"/>
    <brk id="1138" max="16383" man="1"/>
    <brk id="1162" max="16383" man="1"/>
    <brk id="1184" max="16383" man="1"/>
    <brk id="1218" max="16383" man="1"/>
    <brk id="1231" max="16383" man="1"/>
    <brk id="1243" max="16383" man="1"/>
    <brk id="1259" max="16383" man="1"/>
    <brk id="1294" max="16383" man="1"/>
    <brk id="1315" max="16383" man="1"/>
    <brk id="1329" max="16383" man="1"/>
    <brk id="1340" max="16383" man="1"/>
    <brk id="1359" max="16383" man="1"/>
    <brk id="1380" max="16383" man="1"/>
    <brk id="1398" max="16383" man="1"/>
    <brk id="1422" max="16383" man="1"/>
    <brk id="1443" max="16383" man="1"/>
    <brk id="1459" max="16383" man="1"/>
    <brk id="1482" max="16383" man="1"/>
    <brk id="1496" max="16383" man="1"/>
    <brk id="1514" max="16383" man="1"/>
    <brk id="1527" max="16383" man="1"/>
    <brk id="1539" max="16383" man="1"/>
    <brk id="1560" max="16383" man="1"/>
    <brk id="1582" max="16383" man="1"/>
    <brk id="1603" max="16383" man="1"/>
    <brk id="1626" max="16383" man="1"/>
    <brk id="1648" max="16383" man="1"/>
    <brk id="1656" max="16383" man="1"/>
    <brk id="1690" max="16383" man="1"/>
    <brk id="1723" max="16383" man="1"/>
    <brk id="1765" max="16383" man="1"/>
    <brk id="1792" max="16383" man="1"/>
    <brk id="1821" max="16383" man="1"/>
    <brk id="1830" max="16383" man="1"/>
    <brk id="1856" max="16383" man="1"/>
    <brk id="1873" max="16383" man="1"/>
    <brk id="1891" max="16383" man="1"/>
    <brk id="1914" max="16383" man="1"/>
    <brk id="1940" max="16383" man="1"/>
    <brk id="1963" max="16383" man="1"/>
    <brk id="1989" max="16383" man="1"/>
    <brk id="2008" max="16383" man="1"/>
    <brk id="20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ПиП-АГ-НИШ A3</vt:lpstr>
      <vt:lpstr>'ПиП-АГ-НИШ A3'!Print_Area</vt:lpstr>
      <vt:lpstr>'ПиП-АГ-НИШ A3'!Print_Titles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 predmer</dc:title>
  <dc:creator>tanja</dc:creator>
  <cp:lastModifiedBy>Branko Grzetic</cp:lastModifiedBy>
  <cp:lastPrinted>2018-08-21T06:30:58Z</cp:lastPrinted>
  <dcterms:created xsi:type="dcterms:W3CDTF">1996-12-26T11:58:47Z</dcterms:created>
  <dcterms:modified xsi:type="dcterms:W3CDTF">2018-08-21T10:49:36Z</dcterms:modified>
</cp:coreProperties>
</file>